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88" activeTab="8"/>
  </bookViews>
  <sheets>
    <sheet name="Readme" sheetId="1" r:id="rId1"/>
    <sheet name="Enter data" sheetId="2" r:id="rId2"/>
    <sheet name="Calcs" sheetId="3" r:id="rId3"/>
    <sheet name="Area" sheetId="4" r:id="rId4"/>
    <sheet name="Area (2)" sheetId="5" r:id="rId5"/>
    <sheet name="Res_per_Meter" sheetId="6" r:id="rId6"/>
    <sheet name="R_per_Meter (2)" sheetId="7" r:id="rId7"/>
    <sheet name="dB_per_meter" sheetId="8" r:id="rId8"/>
    <sheet name="dB_per_meter (2)" sheetId="9" r:id="rId9"/>
    <sheet name="dB_per_foot" sheetId="10" r:id="rId10"/>
    <sheet name="dB_per_foot (2)" sheetId="11" r:id="rId11"/>
  </sheets>
  <definedNames/>
  <calcPr fullCalcOnLoad="1"/>
</workbook>
</file>

<file path=xl/comments2.xml><?xml version="1.0" encoding="utf-8"?>
<comments xmlns="http://schemas.openxmlformats.org/spreadsheetml/2006/main">
  <authors>
    <author/>
  </authors>
  <commentList>
    <comment ref="D117" authorId="0">
      <text>
        <r>
          <rPr>
            <b/>
            <sz val="9"/>
            <color indexed="8"/>
            <rFont val="Tahoma"/>
            <family val="2"/>
          </rPr>
          <t xml:space="preserve">Sergio Mariotti:
</t>
        </r>
        <r>
          <rPr>
            <sz val="9"/>
            <color indexed="8"/>
            <rFont val="Tahoma"/>
            <family val="2"/>
          </rPr>
          <t xml:space="preserve">Found many and different values.
A trusted value for AISI316L may be 45 </t>
        </r>
        <r>
          <rPr>
            <sz val="9"/>
            <color indexed="8"/>
            <rFont val="Symbol"/>
            <family val="1"/>
          </rPr>
          <t>mW</t>
        </r>
        <r>
          <rPr>
            <sz val="9"/>
            <color indexed="8"/>
            <rFont val="Tahoma"/>
            <family val="2"/>
          </rPr>
          <t>*cm</t>
        </r>
      </text>
    </comment>
    <comment ref="H117" authorId="0">
      <text>
        <r>
          <rPr>
            <b/>
            <sz val="9"/>
            <color indexed="8"/>
            <rFont val="Tahoma"/>
            <family val="2"/>
          </rPr>
          <t xml:space="preserve">Sergio Mariotti:
</t>
        </r>
        <r>
          <rPr>
            <sz val="9"/>
            <color indexed="8"/>
            <rFont val="Symbol"/>
            <family val="1"/>
          </rPr>
          <t>m</t>
        </r>
        <r>
          <rPr>
            <sz val="9"/>
            <color indexed="8"/>
            <rFont val="Tahoma"/>
            <family val="2"/>
          </rPr>
          <t xml:space="preserve">r may be 1 or slightly higher at DC.
In GHz region almost all materials have </t>
        </r>
        <r>
          <rPr>
            <sz val="9"/>
            <color indexed="8"/>
            <rFont val="Symbol"/>
            <family val="1"/>
          </rPr>
          <t>m</t>
        </r>
        <r>
          <rPr>
            <sz val="9"/>
            <color indexed="8"/>
            <rFont val="Tahoma"/>
            <family val="2"/>
          </rPr>
          <t>r=1</t>
        </r>
      </text>
    </comment>
  </commentList>
</comments>
</file>

<file path=xl/sharedStrings.xml><?xml version="1.0" encoding="utf-8"?>
<sst xmlns="http://schemas.openxmlformats.org/spreadsheetml/2006/main" count="363" uniqueCount="254">
  <si>
    <t>Some formulas…</t>
  </si>
  <si>
    <t>Coax calculator</t>
  </si>
  <si>
    <t>Microwaves101.com</t>
  </si>
  <si>
    <t>Enter data in blue fields</t>
  </si>
  <si>
    <t>Overwrite data in light blue fields if you like</t>
  </si>
  <si>
    <t>Enter Conductor Properties</t>
  </si>
  <si>
    <t>Enter Dielectric Properties</t>
  </si>
  <si>
    <t>Outer</t>
  </si>
  <si>
    <t>Inner</t>
  </si>
  <si>
    <t>Material</t>
  </si>
  <si>
    <t>Aluminum</t>
  </si>
  <si>
    <t>Copper</t>
  </si>
  <si>
    <t>Foamed PTFE</t>
  </si>
  <si>
    <t>Use the pull-down material list or</t>
  </si>
  <si>
    <t>σ</t>
  </si>
  <si>
    <t>mho-meter</t>
  </si>
  <si>
    <t>overwrite the light blue cells</t>
  </si>
  <si>
    <t>ρ</t>
  </si>
  <si>
    <t>ohm-meter</t>
  </si>
  <si>
    <t>Ohm-meter cells are used in the calculations, overwrite these cells if you want.</t>
  </si>
  <si>
    <t>ohm-cm</t>
  </si>
  <si>
    <t>µ-ohm-cm</t>
  </si>
  <si>
    <t>µR</t>
  </si>
  <si>
    <t>N/A</t>
  </si>
  <si>
    <r>
      <t>e</t>
    </r>
    <r>
      <rPr>
        <sz val="10"/>
        <rFont val="Arial"/>
        <family val="2"/>
      </rPr>
      <t>R</t>
    </r>
  </si>
  <si>
    <t>tanD</t>
  </si>
  <si>
    <t>Enter Coax Geometry</t>
  </si>
  <si>
    <t>Choose units (inches or mm)</t>
  </si>
  <si>
    <t>inches</t>
  </si>
  <si>
    <t>Dimensions</t>
  </si>
  <si>
    <t>Outer "D"</t>
  </si>
  <si>
    <t>Inner "d"</t>
  </si>
  <si>
    <t>Enter diameters in your units</t>
  </si>
  <si>
    <t>Diameter in meters</t>
  </si>
  <si>
    <t>meters</t>
  </si>
  <si>
    <t>Enter concentricity in your units</t>
  </si>
  <si>
    <t>Concentricity in meters</t>
  </si>
  <si>
    <t>Enter shell thickness in your units</t>
  </si>
  <si>
    <t>Shell thickness in meters</t>
  </si>
  <si>
    <t>Enter Roughness</t>
  </si>
  <si>
    <t>Roughness in meters</t>
  </si>
  <si>
    <t>Cross-section area</t>
  </si>
  <si>
    <t>meter2</t>
  </si>
  <si>
    <t>DC resistance R'</t>
  </si>
  <si>
    <t>Ohms/meter</t>
  </si>
  <si>
    <t>dimension "a"</t>
  </si>
  <si>
    <t>dimension "b"</t>
  </si>
  <si>
    <t>dimension "c"</t>
  </si>
  <si>
    <t>Frequency Independent Calculations</t>
  </si>
  <si>
    <t>D/d</t>
  </si>
  <si>
    <t>Z0 if concentric</t>
  </si>
  <si>
    <t>ohms</t>
  </si>
  <si>
    <t>Z0 due to concentricity</t>
  </si>
  <si>
    <t>DC resistance outer conductor</t>
  </si>
  <si>
    <t>Ohms/foot</t>
  </si>
  <si>
    <t>DC resistannce innner conductor</t>
  </si>
  <si>
    <t>Capacitance/length C'</t>
  </si>
  <si>
    <t>pF/meter</t>
  </si>
  <si>
    <t>pF/foot</t>
  </si>
  <si>
    <t>Inductance/length L'</t>
  </si>
  <si>
    <t>nH/meter</t>
  </si>
  <si>
    <t>nH/foot</t>
  </si>
  <si>
    <t>Dielectric conductance/length G'</t>
  </si>
  <si>
    <t>Siemens/meter</t>
  </si>
  <si>
    <t>Siemens/foot</t>
  </si>
  <si>
    <t>Dielectric conductance loss</t>
  </si>
  <si>
    <t>dB/meter</t>
  </si>
  <si>
    <t>dB/foot</t>
  </si>
  <si>
    <t>Velocity of propagation Vp</t>
  </si>
  <si>
    <t>meters/second</t>
  </si>
  <si>
    <t>% freespace velocity</t>
  </si>
  <si>
    <t>Fcutoff</t>
  </si>
  <si>
    <t>GHz</t>
  </si>
  <si>
    <t>Single-Point Frequency Dependent Calculations</t>
  </si>
  <si>
    <t>Enter your favorite frequency!</t>
  </si>
  <si>
    <t>Enter frequency</t>
  </si>
  <si>
    <t>Hz</t>
  </si>
  <si>
    <t>Enter length</t>
  </si>
  <si>
    <t>degrees</t>
  </si>
  <si>
    <t>Values for chosen length</t>
  </si>
  <si>
    <t>Outside conductor resistance</t>
  </si>
  <si>
    <t>Ohm/m</t>
  </si>
  <si>
    <t>Ohm/foot</t>
  </si>
  <si>
    <t>Ohm/in</t>
  </si>
  <si>
    <t>Ohms</t>
  </si>
  <si>
    <t>Inside conductor resistance</t>
  </si>
  <si>
    <t>Outside conductor loss</t>
  </si>
  <si>
    <t>dB/m</t>
  </si>
  <si>
    <t>dB/inch</t>
  </si>
  <si>
    <t>dB</t>
  </si>
  <si>
    <t>Inside conductor loss</t>
  </si>
  <si>
    <t>Loss tangent loss</t>
  </si>
  <si>
    <t>Dielectric conductivity loss</t>
  </si>
  <si>
    <t>Composite loss</t>
  </si>
  <si>
    <t>Wavelength</t>
  </si>
  <si>
    <t>meter</t>
  </si>
  <si>
    <t>feet</t>
  </si>
  <si>
    <t>Half wavelength</t>
  </si>
  <si>
    <t>Quarter wavelength</t>
  </si>
  <si>
    <t>Plot range</t>
  </si>
  <si>
    <t>Fstart</t>
  </si>
  <si>
    <t>Default is 1 Hertz</t>
  </si>
  <si>
    <t>Fstop</t>
  </si>
  <si>
    <t>Default is the cutoff frequency</t>
  </si>
  <si>
    <t>Geometric increment</t>
  </si>
  <si>
    <t>Overwrite these if you like</t>
  </si>
  <si>
    <t>Constants</t>
  </si>
  <si>
    <t>µ0 (permeability of free space)</t>
  </si>
  <si>
    <t>Henries/meter</t>
  </si>
  <si>
    <t>ε0 (permitivity of free space)</t>
  </si>
  <si>
    <t>Farads/meter</t>
  </si>
  <si>
    <t>c (speed of light)</t>
  </si>
  <si>
    <t>feet/meter</t>
  </si>
  <si>
    <t>Caution: material lists must remain in alphabetical order!</t>
  </si>
  <si>
    <t>Conductor material list</t>
  </si>
  <si>
    <t>Resistivity</t>
  </si>
  <si>
    <t>Conductivity</t>
  </si>
  <si>
    <t>MuR</t>
  </si>
  <si>
    <t>Formula</t>
  </si>
  <si>
    <t>micro-ohm-cm</t>
  </si>
  <si>
    <t>ohm-m</t>
  </si>
  <si>
    <t>mhos/m</t>
  </si>
  <si>
    <t>Don't erase these!</t>
  </si>
  <si>
    <t>aaa User defined 1</t>
  </si>
  <si>
    <t>poly Si</t>
  </si>
  <si>
    <t>mm</t>
  </si>
  <si>
    <t>aab User defined 2</t>
  </si>
  <si>
    <t>aac User defined 3</t>
  </si>
  <si>
    <t>Al</t>
  </si>
  <si>
    <t>2.65</t>
  </si>
  <si>
    <t>Brass</t>
  </si>
  <si>
    <t>Bronze</t>
  </si>
  <si>
    <t>Carbon</t>
  </si>
  <si>
    <t>C</t>
  </si>
  <si>
    <t>3000</t>
  </si>
  <si>
    <t>Chromium</t>
  </si>
  <si>
    <t>Cr</t>
  </si>
  <si>
    <t>18</t>
  </si>
  <si>
    <t>Cu</t>
  </si>
  <si>
    <t>1.673</t>
  </si>
  <si>
    <t>Gold</t>
  </si>
  <si>
    <t>Au</t>
  </si>
  <si>
    <t>2.44</t>
  </si>
  <si>
    <t>Indium</t>
  </si>
  <si>
    <t>In</t>
  </si>
  <si>
    <t>15.52</t>
  </si>
  <si>
    <t>Iridium</t>
  </si>
  <si>
    <t>Ir</t>
  </si>
  <si>
    <t>5.3</t>
  </si>
  <si>
    <t>Iron</t>
  </si>
  <si>
    <t>Fe</t>
  </si>
  <si>
    <t>9.66</t>
  </si>
  <si>
    <t>Lead</t>
  </si>
  <si>
    <t>Pb</t>
  </si>
  <si>
    <t>20.65</t>
  </si>
  <si>
    <t>Magnesium</t>
  </si>
  <si>
    <t>Mg</t>
  </si>
  <si>
    <t>4.2</t>
  </si>
  <si>
    <t>Nickel</t>
  </si>
  <si>
    <t>Ni</t>
  </si>
  <si>
    <t>8.707</t>
  </si>
  <si>
    <t>Nichrome</t>
  </si>
  <si>
    <t>Ni80/Cr20</t>
  </si>
  <si>
    <t>110</t>
  </si>
  <si>
    <t>Palladium</t>
  </si>
  <si>
    <t>Pd</t>
  </si>
  <si>
    <t>10.62</t>
  </si>
  <si>
    <t>Platinum</t>
  </si>
  <si>
    <t>Pt</t>
  </si>
  <si>
    <t>Rhodium</t>
  </si>
  <si>
    <t>Rh</t>
  </si>
  <si>
    <t>4.51</t>
  </si>
  <si>
    <t>Silicon (HRS)</t>
  </si>
  <si>
    <t>Si</t>
  </si>
  <si>
    <t>Silicon (LRS)</t>
  </si>
  <si>
    <t>Silver</t>
  </si>
  <si>
    <t>Ag</t>
  </si>
  <si>
    <t>1.59</t>
  </si>
  <si>
    <t>Stainless steel</t>
  </si>
  <si>
    <t>SS</t>
  </si>
  <si>
    <t>Tantalum</t>
  </si>
  <si>
    <t>Ta</t>
  </si>
  <si>
    <t>Tantalum nitride</t>
  </si>
  <si>
    <t>TaN</t>
  </si>
  <si>
    <t>252</t>
  </si>
  <si>
    <t>Tin (white)</t>
  </si>
  <si>
    <t>Sn</t>
  </si>
  <si>
    <t>11.55</t>
  </si>
  <si>
    <t>Titanium</t>
  </si>
  <si>
    <t>Ti</t>
  </si>
  <si>
    <t>55</t>
  </si>
  <si>
    <t>Tungsten</t>
  </si>
  <si>
    <t>W</t>
  </si>
  <si>
    <t>5.6</t>
  </si>
  <si>
    <t>Zinc</t>
  </si>
  <si>
    <t>Zn</t>
  </si>
  <si>
    <t>5.68</t>
  </si>
  <si>
    <t>Zirconium</t>
  </si>
  <si>
    <t>Zr</t>
  </si>
  <si>
    <t>4.1</t>
  </si>
  <si>
    <t>Dielectric material list (includes Microwave Engineering Passive Circuits by Peter Rizzi and other references)</t>
  </si>
  <si>
    <t>Er</t>
  </si>
  <si>
    <t>TanD</t>
  </si>
  <si>
    <t>Notes</t>
  </si>
  <si>
    <t>ohm-meters</t>
  </si>
  <si>
    <t>Air</t>
  </si>
  <si>
    <t>Alumina</t>
  </si>
  <si>
    <t>Fuzed quartz</t>
  </si>
  <si>
    <t>Wikipedia</t>
  </si>
  <si>
    <t>Fuzed silica</t>
  </si>
  <si>
    <t>Glass</t>
  </si>
  <si>
    <t>There are many different glasses</t>
  </si>
  <si>
    <t>Mica</t>
  </si>
  <si>
    <t>Polystyrene</t>
  </si>
  <si>
    <t>PTFE (Teflon)</t>
  </si>
  <si>
    <t>Quartz (Fuzed)</t>
  </si>
  <si>
    <t>Rexolite - 1422</t>
  </si>
  <si>
    <t>Silicon dioxide</t>
  </si>
  <si>
    <t>Styrofoam</t>
  </si>
  <si>
    <t>Teflon (PTFE)</t>
  </si>
  <si>
    <t>a</t>
  </si>
  <si>
    <t>b</t>
  </si>
  <si>
    <t>c</t>
  </si>
  <si>
    <t>rho outside</t>
  </si>
  <si>
    <t>mu outside</t>
  </si>
  <si>
    <t>H/m</t>
  </si>
  <si>
    <t>rho inside</t>
  </si>
  <si>
    <t>mu inside</t>
  </si>
  <si>
    <t>Metal loss calculation</t>
  </si>
  <si>
    <t>Roughness coefficient</t>
  </si>
  <si>
    <t>Loss due to skin effect</t>
  </si>
  <si>
    <t>outside</t>
  </si>
  <si>
    <t>inside</t>
  </si>
  <si>
    <t>Outside</t>
  </si>
  <si>
    <t>Inside</t>
  </si>
  <si>
    <t>Total</t>
  </si>
  <si>
    <t>Loss due to loss tangent</t>
  </si>
  <si>
    <t>Loss due to conductivity</t>
  </si>
  <si>
    <t>total loss</t>
  </si>
  <si>
    <t>Freq</t>
  </si>
  <si>
    <t>skin depth</t>
  </si>
  <si>
    <t>Outside equivalent area</t>
  </si>
  <si>
    <t>Inside equivalent area</t>
  </si>
  <si>
    <t>Lambda</t>
  </si>
  <si>
    <t>R/length</t>
  </si>
  <si>
    <t>Loss/length</t>
  </si>
  <si>
    <t>G/length</t>
  </si>
  <si>
    <t>Die. Loss</t>
  </si>
  <si>
    <t>loss/length</t>
  </si>
  <si>
    <t>m</t>
  </si>
  <si>
    <t>N/m</t>
  </si>
  <si>
    <t>mho/meter</t>
  </si>
  <si>
    <t>infinity</t>
  </si>
  <si>
    <t>This calculation is for the one frequency that is chosen by the user….</t>
  </si>
</sst>
</file>

<file path=xl/styles.xml><?xml version="1.0" encoding="utf-8"?>
<styleSheet xmlns="http://schemas.openxmlformats.org/spreadsheetml/2006/main">
  <numFmts count="10">
    <numFmt numFmtId="164" formatCode="GENERAL"/>
    <numFmt numFmtId="165" formatCode="D\-MMM\-YY"/>
    <numFmt numFmtId="166" formatCode="0.00E+00"/>
    <numFmt numFmtId="167" formatCode="0.00"/>
    <numFmt numFmtId="168" formatCode="0.000"/>
    <numFmt numFmtId="169" formatCode="0.0000E+00"/>
    <numFmt numFmtId="170" formatCode="0.00%"/>
    <numFmt numFmtId="171" formatCode="@"/>
    <numFmt numFmtId="172" formatCode="GENERAL"/>
    <numFmt numFmtId="173" formatCode="0.00E+000"/>
  </numFmts>
  <fonts count="13">
    <font>
      <sz val="10"/>
      <name val="Arial"/>
      <family val="2"/>
    </font>
    <font>
      <b/>
      <sz val="10"/>
      <name val="Arial"/>
      <family val="2"/>
    </font>
    <font>
      <sz val="10"/>
      <name val="Symbol"/>
      <family val="1"/>
    </font>
    <font>
      <sz val="10"/>
      <name val="Tahoma"/>
      <family val="2"/>
    </font>
    <font>
      <b/>
      <sz val="9"/>
      <color indexed="8"/>
      <name val="Tahoma"/>
      <family val="2"/>
    </font>
    <font>
      <sz val="9"/>
      <color indexed="8"/>
      <name val="Tahoma"/>
      <family val="2"/>
    </font>
    <font>
      <sz val="9"/>
      <color indexed="8"/>
      <name val="Symbol"/>
      <family val="1"/>
    </font>
    <font>
      <sz val="10"/>
      <color indexed="14"/>
      <name val="Arial"/>
      <family val="2"/>
    </font>
    <font>
      <sz val="10"/>
      <color indexed="12"/>
      <name val="Arial"/>
      <family val="2"/>
    </font>
    <font>
      <sz val="10"/>
      <color indexed="10"/>
      <name val="Arial"/>
      <family val="2"/>
    </font>
    <font>
      <sz val="9"/>
      <color indexed="63"/>
      <name val="Arial"/>
      <family val="2"/>
    </font>
    <font>
      <sz val="8.75"/>
      <color indexed="63"/>
      <name val="Arial"/>
      <family val="2"/>
    </font>
    <font>
      <b/>
      <sz val="8"/>
      <name val="Arial"/>
      <family val="2"/>
    </font>
  </fonts>
  <fills count="6">
    <fill>
      <patternFill/>
    </fill>
    <fill>
      <patternFill patternType="gray125"/>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s>
  <borders count="2">
    <border>
      <left/>
      <right/>
      <top/>
      <bottom/>
      <diagonal/>
    </border>
    <border>
      <left style="thin">
        <color indexed="63"/>
      </left>
      <right style="thin">
        <color indexed="63"/>
      </right>
      <top style="thin">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9">
    <xf numFmtId="164" fontId="0" fillId="0" borderId="0" xfId="0" applyAlignment="1">
      <alignment/>
    </xf>
    <xf numFmtId="165" fontId="1" fillId="2" borderId="0" xfId="0" applyNumberFormat="1" applyFont="1" applyFill="1" applyAlignment="1">
      <alignment/>
    </xf>
    <xf numFmtId="164" fontId="0" fillId="2" borderId="0" xfId="0" applyFill="1" applyAlignment="1">
      <alignment/>
    </xf>
    <xf numFmtId="164" fontId="1" fillId="3" borderId="0" xfId="0" applyFont="1" applyFill="1" applyAlignment="1">
      <alignment/>
    </xf>
    <xf numFmtId="164" fontId="0" fillId="3" borderId="0" xfId="0" applyFill="1" applyAlignment="1">
      <alignment/>
    </xf>
    <xf numFmtId="164" fontId="1" fillId="0" borderId="0" xfId="0" applyFont="1" applyAlignment="1">
      <alignment/>
    </xf>
    <xf numFmtId="164" fontId="0" fillId="2" borderId="0" xfId="0" applyFont="1" applyFill="1" applyAlignment="1">
      <alignment/>
    </xf>
    <xf numFmtId="166" fontId="0" fillId="0" borderId="0" xfId="0" applyNumberFormat="1" applyFill="1" applyAlignment="1">
      <alignment horizontal="right"/>
    </xf>
    <xf numFmtId="166" fontId="0" fillId="0" borderId="0" xfId="0" applyNumberFormat="1" applyFont="1" applyAlignment="1">
      <alignment/>
    </xf>
    <xf numFmtId="166" fontId="0" fillId="3" borderId="0" xfId="0" applyNumberFormat="1" applyFill="1" applyAlignment="1">
      <alignment horizontal="right"/>
    </xf>
    <xf numFmtId="164" fontId="0" fillId="3" borderId="0" xfId="0" applyFill="1" applyAlignment="1">
      <alignment horizontal="right"/>
    </xf>
    <xf numFmtId="164" fontId="0" fillId="0" borderId="0" xfId="0" applyFont="1" applyAlignment="1">
      <alignment horizontal="right"/>
    </xf>
    <xf numFmtId="164" fontId="2" fillId="0" borderId="0" xfId="0" applyFont="1" applyAlignment="1">
      <alignment/>
    </xf>
    <xf numFmtId="164" fontId="0" fillId="0" borderId="0" xfId="0" applyFont="1" applyFill="1" applyAlignment="1">
      <alignment horizontal="right"/>
    </xf>
    <xf numFmtId="167" fontId="0" fillId="3" borderId="0" xfId="0" applyNumberFormat="1" applyFill="1" applyAlignment="1">
      <alignment horizontal="right"/>
    </xf>
    <xf numFmtId="166" fontId="0" fillId="2" borderId="0" xfId="0" applyNumberFormat="1" applyFill="1" applyAlignment="1">
      <alignment/>
    </xf>
    <xf numFmtId="166" fontId="0" fillId="0" borderId="0" xfId="0" applyNumberFormat="1" applyFill="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66" fontId="3" fillId="4" borderId="0" xfId="0" applyNumberFormat="1" applyFont="1" applyFill="1" applyBorder="1" applyAlignment="1">
      <alignment wrapText="1"/>
    </xf>
    <xf numFmtId="167" fontId="1" fillId="0" borderId="0" xfId="0" applyNumberFormat="1" applyFont="1" applyAlignment="1">
      <alignment/>
    </xf>
    <xf numFmtId="164" fontId="0" fillId="2" borderId="0" xfId="0" applyNumberFormat="1" applyFill="1" applyAlignment="1">
      <alignment/>
    </xf>
    <xf numFmtId="164" fontId="0" fillId="5" borderId="0" xfId="0" applyNumberFormat="1" applyFill="1" applyAlignment="1">
      <alignment/>
    </xf>
    <xf numFmtId="167" fontId="0" fillId="5" borderId="0" xfId="0" applyNumberFormat="1" applyFill="1" applyAlignment="1">
      <alignment/>
    </xf>
    <xf numFmtId="164" fontId="0" fillId="5" borderId="0" xfId="0" applyFont="1" applyFill="1" applyAlignment="1">
      <alignment/>
    </xf>
    <xf numFmtId="166" fontId="0" fillId="5" borderId="0" xfId="0" applyNumberFormat="1" applyFill="1" applyAlignment="1">
      <alignment/>
    </xf>
    <xf numFmtId="166" fontId="1" fillId="5" borderId="0" xfId="0" applyNumberFormat="1" applyFont="1" applyFill="1" applyAlignment="1">
      <alignment/>
    </xf>
    <xf numFmtId="164" fontId="1" fillId="5" borderId="0" xfId="0" applyFont="1" applyFill="1" applyAlignment="1">
      <alignment/>
    </xf>
    <xf numFmtId="164" fontId="0" fillId="0" borderId="0" xfId="0" applyFill="1" applyAlignment="1">
      <alignment/>
    </xf>
    <xf numFmtId="166" fontId="0" fillId="3" borderId="0" xfId="0" applyNumberFormat="1" applyFill="1" applyAlignment="1">
      <alignment/>
    </xf>
    <xf numFmtId="164" fontId="0" fillId="0" borderId="0" xfId="0" applyNumberFormat="1" applyAlignment="1">
      <alignment/>
    </xf>
    <xf numFmtId="164" fontId="0" fillId="0" borderId="0" xfId="0" applyFont="1" applyAlignment="1">
      <alignment/>
    </xf>
    <xf numFmtId="169" fontId="3" fillId="0" borderId="0" xfId="0" applyNumberFormat="1" applyFont="1" applyAlignment="1">
      <alignment/>
    </xf>
    <xf numFmtId="164" fontId="0" fillId="0" borderId="0" xfId="0" applyAlignment="1">
      <alignment/>
    </xf>
    <xf numFmtId="171" fontId="0" fillId="0" borderId="1" xfId="0" applyNumberFormat="1" applyBorder="1" applyAlignment="1">
      <alignment/>
    </xf>
    <xf numFmtId="164" fontId="0" fillId="0" borderId="1" xfId="0" applyBorder="1" applyAlignment="1">
      <alignment/>
    </xf>
    <xf numFmtId="171" fontId="0" fillId="3" borderId="1" xfId="0" applyNumberFormat="1" applyFont="1" applyFill="1" applyBorder="1" applyAlignment="1">
      <alignment/>
    </xf>
    <xf numFmtId="164" fontId="0" fillId="3" borderId="1" xfId="0" applyFont="1" applyFill="1" applyBorder="1" applyAlignment="1">
      <alignment/>
    </xf>
    <xf numFmtId="164" fontId="0" fillId="3" borderId="1" xfId="0" applyNumberFormat="1" applyFill="1" applyBorder="1" applyAlignment="1">
      <alignment horizontal="left"/>
    </xf>
    <xf numFmtId="166" fontId="0" fillId="0" borderId="1" xfId="0" applyNumberFormat="1" applyBorder="1" applyAlignment="1">
      <alignment/>
    </xf>
    <xf numFmtId="164" fontId="0" fillId="0" borderId="1" xfId="0" applyNumberFormat="1" applyBorder="1" applyAlignment="1">
      <alignment/>
    </xf>
    <xf numFmtId="164" fontId="3" fillId="4" borderId="1" xfId="0" applyFont="1" applyFill="1" applyBorder="1" applyAlignment="1">
      <alignment wrapText="1"/>
    </xf>
    <xf numFmtId="164" fontId="3" fillId="4" borderId="1" xfId="0" applyNumberFormat="1" applyFont="1" applyFill="1" applyBorder="1" applyAlignment="1">
      <alignment wrapText="1"/>
    </xf>
    <xf numFmtId="171" fontId="3" fillId="4" borderId="1" xfId="0" applyNumberFormat="1" applyFont="1" applyFill="1" applyBorder="1" applyAlignment="1">
      <alignment wrapText="1"/>
    </xf>
    <xf numFmtId="164" fontId="3" fillId="4" borderId="1" xfId="0" applyNumberFormat="1" applyFont="1" applyFill="1" applyBorder="1" applyAlignment="1">
      <alignment horizontal="left" wrapText="1"/>
    </xf>
    <xf numFmtId="164" fontId="0" fillId="3" borderId="1" xfId="0" applyNumberFormat="1" applyFill="1" applyBorder="1" applyAlignment="1">
      <alignment horizontal="right"/>
    </xf>
    <xf numFmtId="171" fontId="0" fillId="0" borderId="0" xfId="0" applyNumberFormat="1" applyFont="1" applyFill="1" applyBorder="1" applyAlignment="1">
      <alignment/>
    </xf>
    <xf numFmtId="164" fontId="0" fillId="0" borderId="0" xfId="0" applyFill="1" applyBorder="1" applyAlignment="1">
      <alignment/>
    </xf>
    <xf numFmtId="164" fontId="0" fillId="0" borderId="0" xfId="0" applyNumberFormat="1" applyFill="1" applyBorder="1" applyAlignment="1">
      <alignment horizontal="right"/>
    </xf>
    <xf numFmtId="164" fontId="9" fillId="0" borderId="0" xfId="0" applyFont="1" applyAlignment="1">
      <alignment/>
    </xf>
    <xf numFmtId="173" fontId="0" fillId="0" borderId="0" xfId="0" applyAlignment="1">
      <alignment/>
    </xf>
    <xf numFmtId="164" fontId="0" fillId="0" borderId="0" xfId="0" applyFont="1" applyAlignment="1">
      <alignment/>
    </xf>
    <xf numFmtId="164" fontId="0" fillId="0" borderId="0" xfId="0" applyAlignment="1">
      <alignment wrapText="1"/>
    </xf>
    <xf numFmtId="164" fontId="9" fillId="0" borderId="0" xfId="0" applyFont="1" applyAlignment="1">
      <alignment wrapText="1"/>
    </xf>
    <xf numFmtId="164" fontId="0" fillId="0" borderId="0" xfId="0" applyFont="1" applyAlignment="1">
      <alignment wrapText="1"/>
    </xf>
    <xf numFmtId="166" fontId="9"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1A1A1A"/>
                </a:solidFill>
                <a:latin typeface="Arial"/>
                <a:ea typeface="Arial"/>
                <a:cs typeface="Arial"/>
              </a:rPr>
              <a:t>Equivalent cross-sectional area of conductors
Both axes on log scales</a:t>
            </a:r>
          </a:p>
        </c:rich>
      </c:tx>
      <c:layout/>
      <c:spPr>
        <a:noFill/>
        <a:ln>
          <a:noFill/>
        </a:ln>
      </c:spPr>
    </c:title>
    <c:plotArea>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Calcs!$I$14:$I$157</c:f>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Calcs!$J$14:$J$157</c:f>
              <c:numCache/>
            </c:numRef>
          </c:yVal>
          <c:smooth val="0"/>
        </c:ser>
        <c:axId val="52019114"/>
        <c:axId val="12299483"/>
      </c:scatterChart>
      <c:valAx>
        <c:axId val="52019114"/>
        <c:scaling>
          <c:logBase val="10"/>
          <c:orientation val="minMax"/>
        </c:scaling>
        <c:axPos val="b"/>
        <c:title>
          <c:tx>
            <c:rich>
              <a:bodyPr vert="horz" rot="0" anchor="ctr"/>
              <a:lstStyle/>
              <a:p>
                <a:pPr algn="ctr">
                  <a:defRPr/>
                </a:pPr>
                <a:r>
                  <a:rPr lang="en-US" cap="none" sz="900" b="0" i="0" u="none" baseline="0">
                    <a:solidFill>
                      <a:srgbClr val="1A1A1A"/>
                    </a:solidFill>
                    <a:latin typeface="Arial"/>
                    <a:ea typeface="Arial"/>
                    <a:cs typeface="Arial"/>
                  </a:rPr>
                  <a:t>Frequency Hz</a:t>
                </a:r>
              </a:p>
            </c:rich>
          </c:tx>
          <c:layout/>
          <c:overlay val="0"/>
          <c:spPr>
            <a:noFill/>
            <a:ln>
              <a:noFill/>
            </a:ln>
          </c:spPr>
        </c:title>
        <c:majorGridlines/>
        <c:delete val="0"/>
        <c:numFmt formatCode="0.00E+00"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2299483"/>
        <c:crossesAt val="1E-14"/>
        <c:crossBetween val="midCat"/>
        <c:dispUnits/>
      </c:valAx>
      <c:valAx>
        <c:axId val="12299483"/>
        <c:scaling>
          <c:logBase val="10"/>
          <c:orientation val="minMax"/>
        </c:scaling>
        <c:axPos val="l"/>
        <c:title>
          <c:tx>
            <c:rich>
              <a:bodyPr vert="horz" rot="-5400000" anchor="ctr"/>
              <a:lstStyle/>
              <a:p>
                <a:pPr algn="ctr">
                  <a:defRPr/>
                </a:pPr>
                <a:r>
                  <a:rPr lang="en-US" cap="none" sz="900" b="0" i="0" u="none" baseline="0">
                    <a:solidFill>
                      <a:srgbClr val="1A1A1A"/>
                    </a:solidFill>
                    <a:latin typeface="Arial"/>
                    <a:ea typeface="Arial"/>
                    <a:cs typeface="Arial"/>
                  </a:rPr>
                  <a:t>Area (meters2)</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2019114"/>
        <c:crossesAt val="1E-10"/>
        <c:crossBetween val="midCat"/>
        <c:dispUnits/>
      </c:valAx>
      <c:spPr>
        <a:noFill/>
        <a:ln w="12700">
          <a:solidFill>
            <a:srgbClr val="808080"/>
          </a:solidFill>
        </a:ln>
      </c:spPr>
    </c:plotArea>
    <c:legend>
      <c:legendPos val="r"/>
      <c:layout/>
      <c:overlay val="0"/>
      <c:txPr>
        <a:bodyPr vert="horz" rot="0"/>
        <a:lstStyle/>
        <a:p>
          <a:pPr>
            <a:defRPr lang="en-US" cap="none" sz="900" b="0" i="0" u="none" baseline="0">
              <a:solidFill>
                <a:srgbClr val="1A1A1A"/>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1A1A1A"/>
                </a:solidFill>
                <a:latin typeface="Arial"/>
                <a:ea typeface="Arial"/>
                <a:cs typeface="Arial"/>
              </a:rPr>
              <a:t>Equivalent cross-sectional area of conductors
Y-axis on log scale</a:t>
            </a:r>
          </a:p>
        </c:rich>
      </c:tx>
      <c:layout/>
      <c:spPr>
        <a:noFill/>
        <a:ln>
          <a:noFill/>
        </a:ln>
      </c:spPr>
    </c:title>
    <c:plotArea>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Calcs!$E$14:$E$157</c:f>
              <c:numCache/>
            </c:numRef>
          </c:xVal>
          <c:yVal>
            <c:numRef>
              <c:f>Calcs!$I$14:$I$157</c:f>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Calcs!$E$14:$E$157</c:f>
              <c:numCache/>
            </c:numRef>
          </c:xVal>
          <c:yVal>
            <c:numRef>
              <c:f>Calcs!$J$14:$J$157</c:f>
              <c:numCache/>
            </c:numRef>
          </c:yVal>
          <c:smooth val="0"/>
        </c:ser>
        <c:axId val="29981892"/>
        <c:axId val="31246245"/>
      </c:scatterChart>
      <c:valAx>
        <c:axId val="29981892"/>
        <c:scaling>
          <c:orientation val="minMax"/>
        </c:scaling>
        <c:axPos val="b"/>
        <c:title>
          <c:tx>
            <c:rich>
              <a:bodyPr vert="horz" rot="0" anchor="ctr"/>
              <a:lstStyle/>
              <a:p>
                <a:pPr algn="ctr">
                  <a:defRPr/>
                </a:pPr>
                <a:r>
                  <a:rPr lang="en-US" cap="none" sz="900" b="0" i="0" u="none" baseline="0">
                    <a:solidFill>
                      <a:srgbClr val="1A1A1A"/>
                    </a:solidFill>
                    <a:latin typeface="Arial"/>
                    <a:ea typeface="Arial"/>
                    <a:cs typeface="Arial"/>
                  </a:rPr>
                  <a:t>Frequency GHz</a:t>
                </a:r>
              </a:p>
            </c:rich>
          </c:tx>
          <c:layout/>
          <c:overlay val="0"/>
          <c:spPr>
            <a:noFill/>
            <a:ln>
              <a:noFill/>
            </a:ln>
          </c:spPr>
        </c:title>
        <c:majorGridlines/>
        <c:delete val="0"/>
        <c:numFmt formatCode="GENERAL"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1246245"/>
        <c:crossesAt val="1E-14"/>
        <c:crossBetween val="midCat"/>
        <c:dispUnits/>
      </c:valAx>
      <c:valAx>
        <c:axId val="31246245"/>
        <c:scaling>
          <c:logBase val="10"/>
          <c:orientation val="minMax"/>
        </c:scaling>
        <c:axPos val="l"/>
        <c:title>
          <c:tx>
            <c:rich>
              <a:bodyPr vert="horz" rot="-5400000" anchor="ctr"/>
              <a:lstStyle/>
              <a:p>
                <a:pPr algn="ctr">
                  <a:defRPr/>
                </a:pPr>
                <a:r>
                  <a:rPr lang="en-US" cap="none" sz="900" b="0" i="0" u="none" baseline="0">
                    <a:solidFill>
                      <a:srgbClr val="1A1A1A"/>
                    </a:solidFill>
                    <a:latin typeface="Arial"/>
                    <a:ea typeface="Arial"/>
                    <a:cs typeface="Arial"/>
                  </a:rPr>
                  <a:t>Area (meters2)</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9981892"/>
        <c:crossesAt val="1E-10"/>
        <c:crossBetween val="midCat"/>
        <c:dispUnits/>
      </c:valAx>
      <c:spPr>
        <a:noFill/>
        <a:ln w="12700">
          <a:solidFill>
            <a:srgbClr val="808080"/>
          </a:solidFill>
        </a:ln>
      </c:spPr>
    </c:plotArea>
    <c:legend>
      <c:legendPos val="r"/>
      <c:layout/>
      <c:overlay val="0"/>
      <c:txPr>
        <a:bodyPr vert="horz" rot="0"/>
        <a:lstStyle/>
        <a:p>
          <a:pPr>
            <a:defRPr lang="en-US" cap="none" sz="900" b="0" i="0" u="none" baseline="0">
              <a:solidFill>
                <a:srgbClr val="1A1A1A"/>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1A1A1A"/>
                </a:solidFill>
                <a:latin typeface="Arial"/>
                <a:ea typeface="Arial"/>
                <a:cs typeface="Arial"/>
              </a:rPr>
              <a:t>Coax cable metal resistance per meter
Frequency axis on log scales</a:t>
            </a:r>
          </a:p>
        </c:rich>
      </c:tx>
      <c:layout/>
      <c:spPr>
        <a:noFill/>
        <a:ln>
          <a:noFill/>
        </a:ln>
      </c:spPr>
    </c:title>
    <c:plotArea>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Calcs!$O$14:$O$157</c:f>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Calcs!$P$14:$P$157</c:f>
              <c:numCache/>
            </c:numRef>
          </c:yVal>
          <c:smooth val="0"/>
        </c:ser>
        <c:axId val="36205502"/>
        <c:axId val="50447695"/>
      </c:scatterChart>
      <c:valAx>
        <c:axId val="36205502"/>
        <c:scaling>
          <c:logBase val="10"/>
          <c:orientation val="minMax"/>
        </c:scaling>
        <c:axPos val="b"/>
        <c:title>
          <c:tx>
            <c:rich>
              <a:bodyPr vert="horz" rot="0" anchor="ctr"/>
              <a:lstStyle/>
              <a:p>
                <a:pPr algn="ctr">
                  <a:defRPr/>
                </a:pPr>
                <a:r>
                  <a:rPr lang="en-US" cap="none" sz="875" b="0" i="0" u="none" baseline="0">
                    <a:solidFill>
                      <a:srgbClr val="1A1A1A"/>
                    </a:solidFill>
                    <a:latin typeface="Arial"/>
                    <a:ea typeface="Arial"/>
                    <a:cs typeface="Arial"/>
                  </a:rPr>
                  <a:t>Frequency (Hz)</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875" b="0" i="0" u="none" baseline="0">
                <a:solidFill>
                  <a:srgbClr val="000000"/>
                </a:solidFill>
                <a:latin typeface="Arial"/>
                <a:ea typeface="Arial"/>
                <a:cs typeface="Arial"/>
              </a:defRPr>
            </a:pPr>
          </a:p>
        </c:txPr>
        <c:crossAx val="50447695"/>
        <c:crossesAt val="0"/>
        <c:crossBetween val="midCat"/>
        <c:dispUnits/>
      </c:valAx>
      <c:valAx>
        <c:axId val="50447695"/>
        <c:scaling>
          <c:orientation val="minMax"/>
        </c:scaling>
        <c:axPos val="l"/>
        <c:title>
          <c:tx>
            <c:rich>
              <a:bodyPr vert="horz" rot="-5400000" anchor="ctr"/>
              <a:lstStyle/>
              <a:p>
                <a:pPr algn="ctr">
                  <a:defRPr/>
                </a:pPr>
                <a:r>
                  <a:rPr lang="en-US" cap="none" sz="875" b="0" i="0" u="none" baseline="0">
                    <a:solidFill>
                      <a:srgbClr val="1A1A1A"/>
                    </a:solidFill>
                    <a:latin typeface="Arial"/>
                    <a:ea typeface="Arial"/>
                    <a:cs typeface="Arial"/>
                  </a:rPr>
                  <a:t>Reistance/meter (ohms/meter)</a:t>
                </a:r>
              </a:p>
            </c:rich>
          </c:tx>
          <c:layout/>
          <c:overlay val="0"/>
          <c:spPr>
            <a:noFill/>
            <a:ln>
              <a:noFill/>
            </a:ln>
          </c:spPr>
        </c:title>
        <c:majorGridlines/>
        <c:delete val="0"/>
        <c:numFmt formatCode="GENERAL" sourceLinked="0"/>
        <c:majorTickMark val="out"/>
        <c:minorTickMark val="none"/>
        <c:tickLblPos val="nextTo"/>
        <c:txPr>
          <a:bodyPr vert="horz" rot="0"/>
          <a:lstStyle/>
          <a:p>
            <a:pPr>
              <a:defRPr lang="en-US" cap="none" sz="875" b="0" i="0" u="none" baseline="0">
                <a:solidFill>
                  <a:srgbClr val="000000"/>
                </a:solidFill>
                <a:latin typeface="Arial"/>
                <a:ea typeface="Arial"/>
                <a:cs typeface="Arial"/>
              </a:defRPr>
            </a:pPr>
          </a:p>
        </c:txPr>
        <c:crossAx val="36205502"/>
        <c:crossesAt val="1"/>
        <c:crossBetween val="midCat"/>
        <c:dispUnits/>
      </c:valAx>
      <c:spPr>
        <a:noFill/>
        <a:ln w="12700">
          <a:solidFill>
            <a:srgbClr val="808080"/>
          </a:solidFill>
        </a:ln>
      </c:spPr>
    </c:plotArea>
    <c:legend>
      <c:legendPos val="r"/>
      <c:layout/>
      <c:overlay val="0"/>
      <c:txPr>
        <a:bodyPr vert="horz" rot="0"/>
        <a:lstStyle/>
        <a:p>
          <a:pPr>
            <a:defRPr lang="en-US" cap="none" sz="875" b="0" i="0" u="none" baseline="0">
              <a:solidFill>
                <a:srgbClr val="1A1A1A"/>
              </a:solidFill>
              <a:latin typeface="Arial"/>
              <a:ea typeface="Arial"/>
              <a:cs typeface="Arial"/>
            </a:defRPr>
          </a:pPr>
        </a:p>
      </c:txPr>
    </c:legend>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1A1A1A"/>
                </a:solidFill>
                <a:latin typeface="Arial"/>
                <a:ea typeface="Arial"/>
                <a:cs typeface="Arial"/>
              </a:rPr>
              <a:t>Coax cable metal resistance per meter
Both axes on linear scales</a:t>
            </a:r>
          </a:p>
        </c:rich>
      </c:tx>
      <c:layout/>
      <c:spPr>
        <a:noFill/>
        <a:ln>
          <a:noFill/>
        </a:ln>
      </c:spPr>
    </c:title>
    <c:plotArea>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Calcs!$O$13:$O$157</c:f>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Calcs!$P$13:$P$157</c:f>
              <c:numCache/>
            </c:numRef>
          </c:yVal>
          <c:smooth val="0"/>
        </c:ser>
        <c:axId val="56946328"/>
        <c:axId val="24715225"/>
      </c:scatterChart>
      <c:valAx>
        <c:axId val="56946328"/>
        <c:scaling>
          <c:orientation val="minMax"/>
        </c:scaling>
        <c:axPos val="b"/>
        <c:title>
          <c:tx>
            <c:rich>
              <a:bodyPr vert="horz" rot="0" anchor="ctr"/>
              <a:lstStyle/>
              <a:p>
                <a:pPr algn="ctr">
                  <a:defRPr/>
                </a:pPr>
                <a:r>
                  <a:rPr lang="en-US" cap="none" sz="875" b="0" i="0" u="none" baseline="0">
                    <a:solidFill>
                      <a:srgbClr val="1A1A1A"/>
                    </a:solidFill>
                    <a:latin typeface="Arial"/>
                    <a:ea typeface="Arial"/>
                    <a:cs typeface="Arial"/>
                  </a:rPr>
                  <a:t>Frequency (GHz)</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875" b="0" i="0" u="none" baseline="0">
                <a:solidFill>
                  <a:srgbClr val="000000"/>
                </a:solidFill>
                <a:latin typeface="Arial"/>
                <a:ea typeface="Arial"/>
                <a:cs typeface="Arial"/>
              </a:defRPr>
            </a:pPr>
          </a:p>
        </c:txPr>
        <c:crossAx val="24715225"/>
        <c:crossesAt val="0"/>
        <c:crossBetween val="midCat"/>
        <c:dispUnits/>
      </c:valAx>
      <c:valAx>
        <c:axId val="24715225"/>
        <c:scaling>
          <c:orientation val="minMax"/>
        </c:scaling>
        <c:axPos val="l"/>
        <c:title>
          <c:tx>
            <c:rich>
              <a:bodyPr vert="horz" rot="-5400000" anchor="ctr"/>
              <a:lstStyle/>
              <a:p>
                <a:pPr algn="ctr">
                  <a:defRPr/>
                </a:pPr>
                <a:r>
                  <a:rPr lang="en-US" cap="none" sz="875" b="0" i="0" u="none" baseline="0">
                    <a:solidFill>
                      <a:srgbClr val="1A1A1A"/>
                    </a:solidFill>
                    <a:latin typeface="Arial"/>
                    <a:ea typeface="Arial"/>
                    <a:cs typeface="Arial"/>
                  </a:rPr>
                  <a:t>Reistance/meter (ohms/meter)</a:t>
                </a:r>
              </a:p>
            </c:rich>
          </c:tx>
          <c:layout/>
          <c:overlay val="0"/>
          <c:spPr>
            <a:noFill/>
            <a:ln>
              <a:noFill/>
            </a:ln>
          </c:spPr>
        </c:title>
        <c:majorGridlines/>
        <c:delete val="0"/>
        <c:numFmt formatCode="GENERAL" sourceLinked="0"/>
        <c:majorTickMark val="out"/>
        <c:minorTickMark val="none"/>
        <c:tickLblPos val="nextTo"/>
        <c:txPr>
          <a:bodyPr vert="horz" rot="0"/>
          <a:lstStyle/>
          <a:p>
            <a:pPr>
              <a:defRPr lang="en-US" cap="none" sz="875" b="0" i="0" u="none" baseline="0">
                <a:solidFill>
                  <a:srgbClr val="000000"/>
                </a:solidFill>
                <a:latin typeface="Arial"/>
                <a:ea typeface="Arial"/>
                <a:cs typeface="Arial"/>
              </a:defRPr>
            </a:pPr>
          </a:p>
        </c:txPr>
        <c:crossAx val="56946328"/>
        <c:crossesAt val="0"/>
        <c:crossBetween val="midCat"/>
        <c:dispUnits/>
      </c:valAx>
      <c:spPr>
        <a:noFill/>
        <a:ln w="12700">
          <a:solidFill>
            <a:srgbClr val="808080"/>
          </a:solidFill>
        </a:ln>
      </c:spPr>
    </c:plotArea>
    <c:legend>
      <c:legendPos val="r"/>
      <c:layout/>
      <c:overlay val="0"/>
      <c:txPr>
        <a:bodyPr vert="horz" rot="0"/>
        <a:lstStyle/>
        <a:p>
          <a:pPr>
            <a:defRPr lang="en-US" cap="none" sz="875" b="0" i="0" u="none" baseline="0">
              <a:solidFill>
                <a:srgbClr val="1A1A1A"/>
              </a:solidFill>
              <a:latin typeface="Arial"/>
              <a:ea typeface="Arial"/>
              <a:cs typeface="Arial"/>
            </a:defRPr>
          </a:pPr>
        </a:p>
      </c:txPr>
    </c:legend>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1A1A1A"/>
                </a:solidFill>
                <a:latin typeface="Arial"/>
                <a:ea typeface="Arial"/>
                <a:cs typeface="Arial"/>
              </a:rPr>
              <a:t>Calculated coax cable loss from all sources
Both axes on log scales</a:t>
            </a:r>
          </a:p>
        </c:rich>
      </c:tx>
      <c:layout/>
      <c:spPr>
        <a:noFill/>
        <a:ln>
          <a:noFill/>
        </a:ln>
      </c:spPr>
    </c:title>
    <c:plotArea>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Calcs!$Q$14:$Q$157</c:f>
              <c:numCache/>
            </c:numRef>
          </c:yVal>
          <c:smooth val="1"/>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Calcs!$R$14:$R$157</c:f>
              <c:numCache/>
            </c:numRef>
          </c:yVal>
          <c:smooth val="1"/>
        </c:ser>
        <c:ser>
          <c:idx val="2"/>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Calcs!$AA$14:$AA$157</c:f>
              <c:numCache/>
            </c:numRef>
          </c:yVal>
          <c:smooth val="1"/>
        </c:ser>
        <c:ser>
          <c:idx val="3"/>
          <c:order val="3"/>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Calcs!$AE$14:$AE$157</c:f>
              <c:numCache/>
            </c:numRef>
          </c:yVal>
          <c:smooth val="1"/>
        </c:ser>
        <c:ser>
          <c:idx val="4"/>
          <c:order val="4"/>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Calcs!$AH$14:$AH$157</c:f>
              <c:numCache/>
            </c:numRef>
          </c:yVal>
          <c:smooth val="1"/>
        </c:ser>
        <c:axId val="66590546"/>
        <c:axId val="37564739"/>
      </c:scatterChart>
      <c:valAx>
        <c:axId val="66590546"/>
        <c:scaling>
          <c:logBase val="10"/>
          <c:orientation val="minMax"/>
        </c:scaling>
        <c:axPos val="b"/>
        <c:title>
          <c:tx>
            <c:rich>
              <a:bodyPr vert="horz" rot="0" anchor="ctr"/>
              <a:lstStyle/>
              <a:p>
                <a:pPr algn="ctr">
                  <a:defRPr/>
                </a:pPr>
                <a:r>
                  <a:rPr lang="en-US" cap="none" sz="900" b="0" i="0" u="none" baseline="0">
                    <a:solidFill>
                      <a:srgbClr val="1A1A1A"/>
                    </a:solidFill>
                    <a:latin typeface="Arial"/>
                    <a:ea typeface="Arial"/>
                    <a:cs typeface="Arial"/>
                  </a:rPr>
                  <a:t>Frequency (Hz)</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7564739"/>
        <c:crossesAt val="1.0000000000000081E-30"/>
        <c:crossBetween val="midCat"/>
        <c:dispUnits/>
      </c:valAx>
      <c:valAx>
        <c:axId val="37564739"/>
        <c:scaling>
          <c:logBase val="10"/>
          <c:orientation val="minMax"/>
          <c:min val="0.001000000000000001"/>
        </c:scaling>
        <c:axPos val="l"/>
        <c:title>
          <c:tx>
            <c:rich>
              <a:bodyPr vert="horz" rot="-5400000" anchor="ctr"/>
              <a:lstStyle/>
              <a:p>
                <a:pPr algn="ctr">
                  <a:defRPr/>
                </a:pPr>
                <a:r>
                  <a:rPr lang="en-US" cap="none" sz="900" b="0" i="0" u="none" baseline="0">
                    <a:solidFill>
                      <a:srgbClr val="1A1A1A"/>
                    </a:solidFill>
                    <a:latin typeface="Arial"/>
                    <a:ea typeface="Arial"/>
                    <a:cs typeface="Arial"/>
                  </a:rPr>
                  <a:t>Loss (dB/meter)</a:t>
                </a:r>
              </a:p>
            </c:rich>
          </c:tx>
          <c:layout/>
          <c:overlay val="0"/>
          <c:spPr>
            <a:noFill/>
            <a:ln>
              <a:noFill/>
            </a:ln>
          </c:spPr>
        </c:title>
        <c:majorGridlines/>
        <c:delete val="0"/>
        <c:numFmt formatCode="0.00E+00"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6590546"/>
        <c:crossesAt val="1.0000000000000081E-30"/>
        <c:crossBetween val="midCat"/>
        <c:dispUnits/>
      </c:valAx>
      <c:spPr>
        <a:noFill/>
        <a:ln w="12700">
          <a:solidFill>
            <a:srgbClr val="808080"/>
          </a:solidFill>
        </a:ln>
      </c:spPr>
    </c:plotArea>
    <c:legend>
      <c:legendPos val="r"/>
      <c:layout/>
      <c:overlay val="0"/>
      <c:txPr>
        <a:bodyPr vert="horz" rot="0"/>
        <a:lstStyle/>
        <a:p>
          <a:pPr>
            <a:defRPr lang="en-US" cap="none" sz="900" b="0" i="0" u="none" baseline="0">
              <a:solidFill>
                <a:srgbClr val="1A1A1A"/>
              </a:solidFill>
              <a:latin typeface="Arial"/>
              <a:ea typeface="Arial"/>
              <a:cs typeface="Arial"/>
            </a:defRPr>
          </a:pPr>
        </a:p>
      </c:txPr>
    </c:legend>
    <c:plotVisOnly val="1"/>
    <c:dispBlanksAs val="gap"/>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1A1A1A"/>
                </a:solidFill>
                <a:latin typeface="Arial"/>
                <a:ea typeface="Arial"/>
                <a:cs typeface="Arial"/>
              </a:rPr>
              <a:t>Calculated coax cable loss from all sources
Both axes on linear scales</a:t>
            </a:r>
          </a:p>
        </c:rich>
      </c:tx>
      <c:layout/>
      <c:spPr>
        <a:noFill/>
        <a:ln>
          <a:noFill/>
        </a:ln>
      </c:spPr>
    </c:title>
    <c:plotArea>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Calcs!$Q$13:$Q$157</c:f>
              <c:numCache/>
            </c:numRef>
          </c:yVal>
          <c:smooth val="1"/>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Calcs!$R$13:$R$157</c:f>
              <c:numCache/>
            </c:numRef>
          </c:yVal>
          <c:smooth val="1"/>
        </c:ser>
        <c:ser>
          <c:idx val="2"/>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Calcs!$AA$13:$AA$157</c:f>
              <c:numCache/>
            </c:numRef>
          </c:yVal>
          <c:smooth val="1"/>
        </c:ser>
        <c:ser>
          <c:idx val="3"/>
          <c:order val="3"/>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Calcs!$AE$13:$AE$157</c:f>
              <c:numCache/>
            </c:numRef>
          </c:yVal>
          <c:smooth val="1"/>
        </c:ser>
        <c:ser>
          <c:idx val="4"/>
          <c:order val="4"/>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Calcs!$AH$13:$AH$157</c:f>
              <c:numCache/>
            </c:numRef>
          </c:yVal>
          <c:smooth val="1"/>
        </c:ser>
        <c:axId val="60815340"/>
        <c:axId val="43922317"/>
      </c:scatterChart>
      <c:valAx>
        <c:axId val="60815340"/>
        <c:scaling>
          <c:orientation val="minMax"/>
        </c:scaling>
        <c:axPos val="b"/>
        <c:title>
          <c:tx>
            <c:rich>
              <a:bodyPr vert="horz" rot="0" anchor="ctr"/>
              <a:lstStyle/>
              <a:p>
                <a:pPr algn="ctr">
                  <a:defRPr/>
                </a:pPr>
                <a:r>
                  <a:rPr lang="en-US" cap="none" sz="900" b="0" i="0" u="none" baseline="0">
                    <a:solidFill>
                      <a:srgbClr val="1A1A1A"/>
                    </a:solidFill>
                    <a:latin typeface="Arial"/>
                    <a:ea typeface="Arial"/>
                    <a:cs typeface="Arial"/>
                  </a:rPr>
                  <a:t>Frequency (GHz)</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3922317"/>
        <c:crossesAt val="0"/>
        <c:crossBetween val="midCat"/>
        <c:dispUnits/>
      </c:valAx>
      <c:valAx>
        <c:axId val="43922317"/>
        <c:scaling>
          <c:orientation val="minMax"/>
        </c:scaling>
        <c:axPos val="l"/>
        <c:title>
          <c:tx>
            <c:rich>
              <a:bodyPr vert="horz" rot="-5400000" anchor="ctr"/>
              <a:lstStyle/>
              <a:p>
                <a:pPr algn="ctr">
                  <a:defRPr/>
                </a:pPr>
                <a:r>
                  <a:rPr lang="en-US" cap="none" sz="900" b="0" i="0" u="none" baseline="0">
                    <a:solidFill>
                      <a:srgbClr val="1A1A1A"/>
                    </a:solidFill>
                    <a:latin typeface="Arial"/>
                    <a:ea typeface="Arial"/>
                    <a:cs typeface="Arial"/>
                  </a:rPr>
                  <a:t>Loss (dB/meter)</a:t>
                </a:r>
              </a:p>
            </c:rich>
          </c:tx>
          <c:layout/>
          <c:overlay val="0"/>
          <c:spPr>
            <a:noFill/>
            <a:ln>
              <a:noFill/>
            </a:ln>
          </c:spPr>
        </c:title>
        <c:majorGridlines/>
        <c:delete val="0"/>
        <c:numFmt formatCode="GENERAL"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0815340"/>
        <c:crossesAt val="0"/>
        <c:crossBetween val="midCat"/>
        <c:dispUnits/>
      </c:valAx>
      <c:spPr>
        <a:noFill/>
        <a:ln w="12700">
          <a:solidFill>
            <a:srgbClr val="808080"/>
          </a:solidFill>
        </a:ln>
      </c:spPr>
    </c:plotArea>
    <c:legend>
      <c:legendPos val="r"/>
      <c:layout/>
      <c:overlay val="0"/>
      <c:txPr>
        <a:bodyPr vert="horz" rot="0"/>
        <a:lstStyle/>
        <a:p>
          <a:pPr>
            <a:defRPr lang="en-US" cap="none" sz="900" b="0" i="0" u="none" baseline="0">
              <a:solidFill>
                <a:srgbClr val="1A1A1A"/>
              </a:solidFill>
              <a:latin typeface="Arial"/>
              <a:ea typeface="Arial"/>
              <a:cs typeface="Arial"/>
            </a:defRPr>
          </a:pPr>
        </a:p>
      </c:txPr>
    </c:legend>
    <c:plotVisOnly val="1"/>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1A1A1A"/>
                </a:solidFill>
                <a:latin typeface="Arial"/>
                <a:ea typeface="Arial"/>
                <a:cs typeface="Arial"/>
              </a:rPr>
              <a:t>Calculated coax cable loss from all sources
Both axes on log scales</a:t>
            </a:r>
          </a:p>
        </c:rich>
      </c:tx>
      <c:layout/>
      <c:spPr>
        <a:noFill/>
        <a:ln>
          <a:noFill/>
        </a:ln>
      </c:spPr>
    </c:title>
    <c:plotArea>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Calcs!$S$14:$S$157</c:f>
              <c:numCache/>
            </c:numRef>
          </c:yVal>
          <c:smooth val="1"/>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Calcs!$T$14:$T$157</c:f>
              <c:numCache/>
            </c:numRef>
          </c:yVal>
          <c:smooth val="1"/>
        </c:ser>
        <c:ser>
          <c:idx val="2"/>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Calcs!$AB$14:$AB$157</c:f>
              <c:numCache/>
            </c:numRef>
          </c:yVal>
          <c:smooth val="1"/>
        </c:ser>
        <c:ser>
          <c:idx val="3"/>
          <c:order val="3"/>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Calcs!$AF$14:$AF$157</c:f>
              <c:numCache/>
            </c:numRef>
          </c:yVal>
          <c:smooth val="1"/>
        </c:ser>
        <c:ser>
          <c:idx val="4"/>
          <c:order val="4"/>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Calcs!$AI$14:$AI$157</c:f>
              <c:numCache/>
            </c:numRef>
          </c:yVal>
          <c:smooth val="1"/>
        </c:ser>
        <c:axId val="20544102"/>
        <c:axId val="30163127"/>
      </c:scatterChart>
      <c:valAx>
        <c:axId val="20544102"/>
        <c:scaling>
          <c:logBase val="10"/>
          <c:orientation val="minMax"/>
        </c:scaling>
        <c:axPos val="b"/>
        <c:title>
          <c:tx>
            <c:rich>
              <a:bodyPr vert="horz" rot="0" anchor="ctr"/>
              <a:lstStyle/>
              <a:p>
                <a:pPr algn="ctr">
                  <a:defRPr/>
                </a:pPr>
                <a:r>
                  <a:rPr lang="en-US" cap="none" sz="900" b="0" i="0" u="none" baseline="0">
                    <a:solidFill>
                      <a:srgbClr val="1A1A1A"/>
                    </a:solidFill>
                    <a:latin typeface="Arial"/>
                    <a:ea typeface="Arial"/>
                    <a:cs typeface="Arial"/>
                  </a:rPr>
                  <a:t>Frequency (Hz)</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0163127"/>
        <c:crossesAt val="1.0000000000000081E-30"/>
        <c:crossBetween val="midCat"/>
        <c:dispUnits/>
      </c:valAx>
      <c:valAx>
        <c:axId val="30163127"/>
        <c:scaling>
          <c:logBase val="10"/>
          <c:orientation val="minMax"/>
          <c:min val="0.001000000000000001"/>
        </c:scaling>
        <c:axPos val="l"/>
        <c:title>
          <c:tx>
            <c:rich>
              <a:bodyPr vert="horz" rot="-5400000" anchor="ctr"/>
              <a:lstStyle/>
              <a:p>
                <a:pPr algn="ctr">
                  <a:defRPr/>
                </a:pPr>
                <a:r>
                  <a:rPr lang="en-US" cap="none" sz="900" b="0" i="0" u="none" baseline="0">
                    <a:solidFill>
                      <a:srgbClr val="1A1A1A"/>
                    </a:solidFill>
                    <a:latin typeface="Arial"/>
                    <a:ea typeface="Arial"/>
                    <a:cs typeface="Arial"/>
                  </a:rPr>
                  <a:t>Loss (dB/foot)</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0544102"/>
        <c:crossesAt val="1"/>
        <c:crossBetween val="midCat"/>
        <c:dispUnits/>
      </c:valAx>
      <c:spPr>
        <a:noFill/>
        <a:ln w="12700">
          <a:solidFill>
            <a:srgbClr val="808080"/>
          </a:solidFill>
        </a:ln>
      </c:spPr>
    </c:plotArea>
    <c:legend>
      <c:legendPos val="r"/>
      <c:layout/>
      <c:overlay val="0"/>
      <c:txPr>
        <a:bodyPr vert="horz" rot="0"/>
        <a:lstStyle/>
        <a:p>
          <a:pPr>
            <a:defRPr lang="en-US" cap="none" sz="900" b="0" i="0" u="none" baseline="0">
              <a:solidFill>
                <a:srgbClr val="1A1A1A"/>
              </a:solidFill>
              <a:latin typeface="Arial"/>
              <a:ea typeface="Arial"/>
              <a:cs typeface="Arial"/>
            </a:defRPr>
          </a:pPr>
        </a:p>
      </c:txPr>
    </c:legend>
    <c:plotVisOnly val="1"/>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1A1A1A"/>
                </a:solidFill>
                <a:latin typeface="Arial"/>
                <a:ea typeface="Arial"/>
                <a:cs typeface="Arial"/>
              </a:rPr>
              <a:t>Calculated coax cable loss from all sources
Both axes on linear scales</a:t>
            </a:r>
          </a:p>
        </c:rich>
      </c:tx>
      <c:layout/>
      <c:spPr>
        <a:noFill/>
        <a:ln>
          <a:noFill/>
        </a:ln>
      </c:spPr>
    </c:title>
    <c:plotArea>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Calcs!$S$13:$S$157</c:f>
              <c:numCache/>
            </c:numRef>
          </c:yVal>
          <c:smooth val="1"/>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Calcs!$T$13:$T$157</c:f>
              <c:numCache/>
            </c:numRef>
          </c:yVal>
          <c:smooth val="1"/>
        </c:ser>
        <c:ser>
          <c:idx val="2"/>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Calcs!$AB$13:$AB$157</c:f>
              <c:numCache/>
            </c:numRef>
          </c:yVal>
          <c:smooth val="1"/>
        </c:ser>
        <c:ser>
          <c:idx val="3"/>
          <c:order val="3"/>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Calcs!$AF$13:$AF$157</c:f>
              <c:numCache/>
            </c:numRef>
          </c:yVal>
          <c:smooth val="1"/>
        </c:ser>
        <c:ser>
          <c:idx val="4"/>
          <c:order val="4"/>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Calcs!$AI$13:$AI$157</c:f>
              <c:numCache/>
            </c:numRef>
          </c:yVal>
          <c:smooth val="1"/>
        </c:ser>
        <c:axId val="41576640"/>
        <c:axId val="21058241"/>
      </c:scatterChart>
      <c:valAx>
        <c:axId val="41576640"/>
        <c:scaling>
          <c:orientation val="minMax"/>
        </c:scaling>
        <c:axPos val="b"/>
        <c:title>
          <c:tx>
            <c:rich>
              <a:bodyPr vert="horz" rot="0" anchor="ctr"/>
              <a:lstStyle/>
              <a:p>
                <a:pPr algn="ctr">
                  <a:defRPr/>
                </a:pPr>
                <a:r>
                  <a:rPr lang="en-US" cap="none" sz="900" b="0" i="0" u="none" baseline="0">
                    <a:solidFill>
                      <a:srgbClr val="1A1A1A"/>
                    </a:solidFill>
                    <a:latin typeface="Arial"/>
                    <a:ea typeface="Arial"/>
                    <a:cs typeface="Arial"/>
                  </a:rPr>
                  <a:t>Frequency (GHz)</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1058241"/>
        <c:crossesAt val="1E-30"/>
        <c:crossBetween val="midCat"/>
        <c:dispUnits/>
      </c:valAx>
      <c:valAx>
        <c:axId val="21058241"/>
        <c:scaling>
          <c:orientation val="minMax"/>
        </c:scaling>
        <c:axPos val="l"/>
        <c:title>
          <c:tx>
            <c:rich>
              <a:bodyPr vert="horz" rot="-5400000" anchor="ctr"/>
              <a:lstStyle/>
              <a:p>
                <a:pPr algn="ctr">
                  <a:defRPr/>
                </a:pPr>
                <a:r>
                  <a:rPr lang="en-US" cap="none" sz="900" b="0" i="0" u="none" baseline="0">
                    <a:solidFill>
                      <a:srgbClr val="1A1A1A"/>
                    </a:solidFill>
                    <a:latin typeface="Arial"/>
                    <a:ea typeface="Arial"/>
                    <a:cs typeface="Arial"/>
                  </a:rPr>
                  <a:t>Loss (dB/foot)</a:t>
                </a:r>
              </a:p>
            </c:rich>
          </c:tx>
          <c:layout/>
          <c:overlay val="0"/>
          <c:spPr>
            <a:noFill/>
            <a:ln>
              <a:noFill/>
            </a:ln>
          </c:spPr>
        </c:title>
        <c:majorGridlines/>
        <c:delete val="0"/>
        <c:numFmt formatCode="GENERAL"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1576640"/>
        <c:crossesAt val="0"/>
        <c:crossBetween val="midCat"/>
        <c:dispUnits/>
      </c:valAx>
      <c:spPr>
        <a:noFill/>
        <a:ln w="12700">
          <a:solidFill>
            <a:srgbClr val="808080"/>
          </a:solidFill>
        </a:ln>
      </c:spPr>
    </c:plotArea>
    <c:legend>
      <c:legendPos val="r"/>
      <c:layout/>
      <c:overlay val="0"/>
      <c:txPr>
        <a:bodyPr vert="horz" rot="0"/>
        <a:lstStyle/>
        <a:p>
          <a:pPr>
            <a:defRPr lang="en-US" cap="none" sz="900" b="0" i="0" u="none" baseline="0">
              <a:solidFill>
                <a:srgbClr val="1A1A1A"/>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43</xdr:row>
      <xdr:rowOff>123825</xdr:rowOff>
    </xdr:from>
    <xdr:to>
      <xdr:col>15</xdr:col>
      <xdr:colOff>438150</xdr:colOff>
      <xdr:row>58</xdr:row>
      <xdr:rowOff>66675</xdr:rowOff>
    </xdr:to>
    <xdr:pic>
      <xdr:nvPicPr>
        <xdr:cNvPr id="1" name="Picture 5"/>
        <xdr:cNvPicPr preferRelativeResize="1">
          <a:picLocks noChangeAspect="1"/>
        </xdr:cNvPicPr>
      </xdr:nvPicPr>
      <xdr:blipFill>
        <a:blip r:embed="rId1"/>
        <a:stretch>
          <a:fillRect/>
        </a:stretch>
      </xdr:blipFill>
      <xdr:spPr>
        <a:xfrm>
          <a:off x="7467600" y="7086600"/>
          <a:ext cx="2114550" cy="2371725"/>
        </a:xfrm>
        <a:prstGeom prst="rect">
          <a:avLst/>
        </a:prstGeom>
        <a:blipFill>
          <a:blip r:embed=""/>
          <a:srcRect/>
          <a:stretch>
            <a:fillRect/>
          </a:stretch>
        </a:blipFill>
        <a:ln w="9525" cmpd="sng">
          <a:noFill/>
        </a:ln>
      </xdr:spPr>
    </xdr:pic>
    <xdr:clientData/>
  </xdr:twoCellAnchor>
  <xdr:twoCellAnchor>
    <xdr:from>
      <xdr:col>0</xdr:col>
      <xdr:colOff>400050</xdr:colOff>
      <xdr:row>59</xdr:row>
      <xdr:rowOff>47625</xdr:rowOff>
    </xdr:from>
    <xdr:to>
      <xdr:col>4</xdr:col>
      <xdr:colOff>333375</xdr:colOff>
      <xdr:row>70</xdr:row>
      <xdr:rowOff>9525</xdr:rowOff>
    </xdr:to>
    <xdr:pic>
      <xdr:nvPicPr>
        <xdr:cNvPr id="2" name="Picture 7"/>
        <xdr:cNvPicPr preferRelativeResize="1">
          <a:picLocks noChangeAspect="1"/>
        </xdr:cNvPicPr>
      </xdr:nvPicPr>
      <xdr:blipFill>
        <a:blip r:embed="rId2"/>
        <a:stretch>
          <a:fillRect/>
        </a:stretch>
      </xdr:blipFill>
      <xdr:spPr>
        <a:xfrm>
          <a:off x="400050" y="9601200"/>
          <a:ext cx="2371725" cy="1743075"/>
        </a:xfrm>
        <a:prstGeom prst="rect">
          <a:avLst/>
        </a:prstGeom>
        <a:blipFill>
          <a:blip r:embed=""/>
          <a:srcRect/>
          <a:stretch>
            <a:fillRect/>
          </a:stretch>
        </a:blipFill>
        <a:ln w="9525" cmpd="sng">
          <a:noFill/>
        </a:ln>
      </xdr:spPr>
    </xdr:pic>
    <xdr:clientData/>
  </xdr:twoCellAnchor>
  <xdr:twoCellAnchor>
    <xdr:from>
      <xdr:col>14</xdr:col>
      <xdr:colOff>304800</xdr:colOff>
      <xdr:row>40</xdr:row>
      <xdr:rowOff>85725</xdr:rowOff>
    </xdr:from>
    <xdr:to>
      <xdr:col>17</xdr:col>
      <xdr:colOff>114300</xdr:colOff>
      <xdr:row>42</xdr:row>
      <xdr:rowOff>161925</xdr:rowOff>
    </xdr:to>
    <xdr:sp>
      <xdr:nvSpPr>
        <xdr:cNvPr id="3" name="Line 9"/>
        <xdr:cNvSpPr>
          <a:spLocks/>
        </xdr:cNvSpPr>
      </xdr:nvSpPr>
      <xdr:spPr>
        <a:xfrm flipH="1">
          <a:off x="8839200" y="6562725"/>
          <a:ext cx="1638300" cy="400050"/>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133350</xdr:colOff>
      <xdr:row>39</xdr:row>
      <xdr:rowOff>66675</xdr:rowOff>
    </xdr:from>
    <xdr:to>
      <xdr:col>18</xdr:col>
      <xdr:colOff>295275</xdr:colOff>
      <xdr:row>41</xdr:row>
      <xdr:rowOff>133350</xdr:rowOff>
    </xdr:to>
    <xdr:sp fLocksText="0">
      <xdr:nvSpPr>
        <xdr:cNvPr id="4" name="Text 10"/>
        <xdr:cNvSpPr txBox="1">
          <a:spLocks noChangeArrowheads="1"/>
        </xdr:cNvSpPr>
      </xdr:nvSpPr>
      <xdr:spPr>
        <a:xfrm>
          <a:off x="10496550" y="6381750"/>
          <a:ext cx="771525" cy="390525"/>
        </a:xfrm>
        <a:prstGeom prst="rect">
          <a:avLst/>
        </a:prstGeom>
        <a:solidFill>
          <a:srgbClr val="FFFFFF"/>
        </a:solidFill>
        <a:ln w="9360" cmpd="sng">
          <a:solidFill>
            <a:srgbClr val="1A1A1A"/>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should be 140.4</a:t>
          </a:r>
        </a:p>
      </xdr:txBody>
    </xdr:sp>
    <xdr:clientData/>
  </xdr:twoCellAnchor>
  <xdr:twoCellAnchor>
    <xdr:from>
      <xdr:col>0</xdr:col>
      <xdr:colOff>114300</xdr:colOff>
      <xdr:row>0</xdr:row>
      <xdr:rowOff>142875</xdr:rowOff>
    </xdr:from>
    <xdr:to>
      <xdr:col>12</xdr:col>
      <xdr:colOff>47625</xdr:colOff>
      <xdr:row>56</xdr:row>
      <xdr:rowOff>161925</xdr:rowOff>
    </xdr:to>
    <xdr:sp fLocksText="0">
      <xdr:nvSpPr>
        <xdr:cNvPr id="5" name="Text 1"/>
        <xdr:cNvSpPr txBox="1">
          <a:spLocks noChangeArrowheads="1"/>
        </xdr:cNvSpPr>
      </xdr:nvSpPr>
      <xdr:spPr>
        <a:xfrm>
          <a:off x="114300" y="142875"/>
          <a:ext cx="7248525" cy="9086850"/>
        </a:xfrm>
        <a:prstGeom prst="rect">
          <a:avLst/>
        </a:prstGeom>
        <a:solidFill>
          <a:srgbClr val="FFFFFF"/>
        </a:solidFill>
        <a:ln w="9360" cmpd="sng">
          <a:solidFill>
            <a:srgbClr val="1A1A1A"/>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Coax_rev3.4.xls
January 11, 2011.  Fixed loss tangent of foamed PTFE, now it is 0.00015.  Previously way too high!  Thanks to Joe for pointing this out.
April 7, 2008 - Added Surface Roughness Effect Calculation. Ref. Ansoft HFSS manual. - Added resistivity of Stainless Steel
November 20, 2007 - fixed a few more bugs in the look-up tables, it's always something!
May 2007: We fixed a few more bugs, the cutoff frequency was previouly only valid for inches...
April 2007:  We' added the offset coax calculation for Z0.  If you don't need it, ignore the "concentricity" parameter, but it's here if you need it. It doesn't affect the C' and G' calculations, we might add that on a future revision.  We also fixed a couple of math mistakes, so please delete previous versions of this spreadsheet calculator.  And we've started adding a list of dielectric materials which are access from a pull-down menu.
Please send us reports of any problems or bugs and we'll fix them... This spreadsheet calculate parameters of coax cables.  It using the "more exact" equation for metal loss, which is ignored by expensive programs such as Agilent ADS.  Visit Microwaves101.com and look up "coax" to learn more. The calculation page may be locked, if you want to mess with it, ask us nicely or go make your own spreadsheet!
Use the blue boxes on the "Enter data" worksheet to enter material properties and geometry. You can choose inches or millimeters as units to enter data using the drop-down menu.  The calculated values are presented using meters as well as feet.  Conductor and dielectric materials are accessed from pull-down menus; if you don't like what we've got, simply overwrite the parameters in the light blue cells.  You can also change values in the table or enter your own materials as "aaa User defined" etc.  Be careful, the list has to stay alphabetized or it won't work properly, a stupid quirk! (Leave the letters "aaa", "aab" and "aac" alone).  Frequency is entered in Hertz, to 10 GHz is entered at 1e10.
Plots use logarithmic and linear scales for frequency.  Change them if you like!   The range of the plots is limited by the calculated cut-off frequency, you can overwrite the plot limits too.
Here is what this spreadsheet calculates:
</a:t>
          </a:r>
          <a:r>
            <a:rPr lang="en-US" cap="none" sz="1000" b="1" i="0" u="none" baseline="0">
              <a:latin typeface="Arial"/>
              <a:ea typeface="Arial"/>
              <a:cs typeface="Arial"/>
            </a:rPr>
            <a:t>Frequency-independent calculations:
</a:t>
          </a:r>
          <a:r>
            <a:rPr lang="en-US" cap="none" sz="1000" b="0" i="0" u="none" baseline="0">
              <a:latin typeface="Arial"/>
              <a:ea typeface="Arial"/>
              <a:cs typeface="Arial"/>
            </a:rPr>
            <a:t>Characteristic impedance (ohms) with and without non-concentric conductors
Capacitance per length (pF/ft, pF/meter)
Inductance per length (nH per foot, nH/meter)
Cutoff frequency of undesirable TE10 mode
Parallel conductance per length (mhos/foot, mhos/meter)
Loss due to conductivity of dielectric (dB/foot, dB/meter)
</a:t>
          </a:r>
          <a:r>
            <a:rPr lang="en-US" cap="none" sz="1000" b="1" i="0" u="none" baseline="0">
              <a:latin typeface="Arial"/>
              <a:ea typeface="Arial"/>
              <a:cs typeface="Arial"/>
            </a:rPr>
            <a:t>Frequency dependent calculations:
</a:t>
          </a:r>
          <a:r>
            <a:rPr lang="en-US" cap="none" sz="1000" b="0" i="0" u="none" baseline="0">
              <a:latin typeface="Arial"/>
              <a:ea typeface="Arial"/>
              <a:cs typeface="Arial"/>
            </a:rPr>
            <a:t>Series RF resistance per length, outer jacket (Ohms/foot, Ohms/meter)
Series RF resistance per length, inner conductor (Ohms/foot, Ohms/meter)
Loss due to metal, inner conductor (dB/foot, dB/m)
Loss due to metal, outer conductor (dB/foot, dB/m)
Loss due to dielectric loss tangent (dB/foot, dB/meter)
Total loss per length (dB/foot, dB/meter)
Frequency dependent parameters are calculated at a single frequency point and cable length of your choosing, at the bottom of the Enter data sheet.  This spreadsheet doesn't deal with surface roughness, nor does it analyze plated conductors.  Plated center conductors are popular, we intend to add this feature one of these days!
Unknown Editor
Microwaves101.com
</a:t>
          </a:r>
        </a:p>
      </xdr:txBody>
    </xdr:sp>
    <xdr:clientData/>
  </xdr:twoCellAnchor>
  <xdr:twoCellAnchor>
    <xdr:from>
      <xdr:col>6</xdr:col>
      <xdr:colOff>457200</xdr:colOff>
      <xdr:row>58</xdr:row>
      <xdr:rowOff>9525</xdr:rowOff>
    </xdr:from>
    <xdr:to>
      <xdr:col>10</xdr:col>
      <xdr:colOff>161925</xdr:colOff>
      <xdr:row>70</xdr:row>
      <xdr:rowOff>104775</xdr:rowOff>
    </xdr:to>
    <xdr:grpSp>
      <xdr:nvGrpSpPr>
        <xdr:cNvPr id="6" name="Group 11"/>
        <xdr:cNvGrpSpPr>
          <a:grpSpLocks/>
        </xdr:cNvGrpSpPr>
      </xdr:nvGrpSpPr>
      <xdr:grpSpPr>
        <a:xfrm>
          <a:off x="4114800" y="9401175"/>
          <a:ext cx="2143125" cy="2038350"/>
          <a:chOff x="6765" y="14750"/>
          <a:chExt cx="3529" cy="3204"/>
        </a:xfrm>
        <a:solidFill>
          <a:srgbClr val="FFFFFF"/>
        </a:solidFill>
      </xdr:grpSpPr>
      <xdr:sp fLocksText="0">
        <xdr:nvSpPr>
          <xdr:cNvPr id="7" name="Text 12"/>
          <xdr:cNvSpPr txBox="1">
            <a:spLocks noChangeArrowheads="1"/>
          </xdr:cNvSpPr>
        </xdr:nvSpPr>
        <xdr:spPr>
          <a:xfrm>
            <a:off x="7896" y="15922"/>
            <a:ext cx="520" cy="357"/>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a</a:t>
            </a:r>
          </a:p>
        </xdr:txBody>
      </xdr:sp>
      <xdr:sp fLocksText="0">
        <xdr:nvSpPr>
          <xdr:cNvPr id="8" name="Text 13"/>
          <xdr:cNvSpPr txBox="1">
            <a:spLocks noChangeArrowheads="1"/>
          </xdr:cNvSpPr>
        </xdr:nvSpPr>
        <xdr:spPr>
          <a:xfrm>
            <a:off x="8555" y="15385"/>
            <a:ext cx="520" cy="357"/>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b</a:t>
            </a:r>
          </a:p>
        </xdr:txBody>
      </xdr:sp>
      <xdr:sp fLocksText="0">
        <xdr:nvSpPr>
          <xdr:cNvPr id="9" name="Text 14"/>
          <xdr:cNvSpPr txBox="1">
            <a:spLocks noChangeArrowheads="1"/>
          </xdr:cNvSpPr>
        </xdr:nvSpPr>
        <xdr:spPr>
          <a:xfrm>
            <a:off x="9184" y="15573"/>
            <a:ext cx="520" cy="366"/>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c</a:t>
            </a:r>
          </a:p>
        </xdr:txBody>
      </xdr:sp>
      <xdr:sp>
        <xdr:nvSpPr>
          <xdr:cNvPr id="10" name="Oval 15"/>
          <xdr:cNvSpPr>
            <a:spLocks/>
          </xdr:cNvSpPr>
        </xdr:nvSpPr>
        <xdr:spPr>
          <a:xfrm>
            <a:off x="6765" y="14750"/>
            <a:ext cx="3529" cy="3204"/>
          </a:xfrm>
          <a:prstGeom prst="ellipse">
            <a:avLst/>
          </a:prstGeom>
          <a:no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Oval 16"/>
          <xdr:cNvSpPr>
            <a:spLocks/>
          </xdr:cNvSpPr>
        </xdr:nvSpPr>
        <xdr:spPr>
          <a:xfrm>
            <a:off x="7119" y="15054"/>
            <a:ext cx="2861" cy="2604"/>
          </a:xfrm>
          <a:prstGeom prst="ellipse">
            <a:avLst/>
          </a:prstGeom>
          <a:no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Oval 17"/>
          <xdr:cNvSpPr>
            <a:spLocks/>
          </xdr:cNvSpPr>
        </xdr:nvSpPr>
        <xdr:spPr>
          <a:xfrm>
            <a:off x="8162" y="15985"/>
            <a:ext cx="805" cy="742"/>
          </a:xfrm>
          <a:prstGeom prst="ellipse">
            <a:avLst/>
          </a:prstGeom>
          <a:solidFill>
            <a:srgbClr val="FFFFFF"/>
          </a:solid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8"/>
          <xdr:cNvSpPr>
            <a:spLocks/>
          </xdr:cNvSpPr>
        </xdr:nvSpPr>
        <xdr:spPr>
          <a:xfrm flipV="1">
            <a:off x="8604" y="15134"/>
            <a:ext cx="441" cy="1225"/>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Line 19"/>
          <xdr:cNvSpPr>
            <a:spLocks/>
          </xdr:cNvSpPr>
        </xdr:nvSpPr>
        <xdr:spPr>
          <a:xfrm flipH="1" flipV="1">
            <a:off x="8259" y="16065"/>
            <a:ext cx="333" cy="267"/>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Line 20"/>
          <xdr:cNvSpPr>
            <a:spLocks/>
          </xdr:cNvSpPr>
        </xdr:nvSpPr>
        <xdr:spPr>
          <a:xfrm flipV="1">
            <a:off x="8624" y="15511"/>
            <a:ext cx="1405" cy="822"/>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5</xdr:col>
      <xdr:colOff>19050</xdr:colOff>
      <xdr:row>20</xdr:row>
      <xdr:rowOff>76200</xdr:rowOff>
    </xdr:to>
    <xdr:graphicFrame>
      <xdr:nvGraphicFramePr>
        <xdr:cNvPr id="1" name="Chart 1"/>
        <xdr:cNvGraphicFramePr/>
      </xdr:nvGraphicFramePr>
      <xdr:xfrm>
        <a:off x="342900" y="180975"/>
        <a:ext cx="3533775" cy="31337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5</xdr:col>
      <xdr:colOff>19050</xdr:colOff>
      <xdr:row>20</xdr:row>
      <xdr:rowOff>76200</xdr:rowOff>
    </xdr:to>
    <xdr:graphicFrame>
      <xdr:nvGraphicFramePr>
        <xdr:cNvPr id="1" name="Chart 1"/>
        <xdr:cNvGraphicFramePr/>
      </xdr:nvGraphicFramePr>
      <xdr:xfrm>
        <a:off x="342900" y="180975"/>
        <a:ext cx="3533775" cy="3133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16</xdr:row>
      <xdr:rowOff>85725</xdr:rowOff>
    </xdr:from>
    <xdr:to>
      <xdr:col>7</xdr:col>
      <xdr:colOff>400050</xdr:colOff>
      <xdr:row>27</xdr:row>
      <xdr:rowOff>85725</xdr:rowOff>
    </xdr:to>
    <xdr:grpSp>
      <xdr:nvGrpSpPr>
        <xdr:cNvPr id="1" name="Group 74"/>
        <xdr:cNvGrpSpPr>
          <a:grpSpLocks/>
        </xdr:cNvGrpSpPr>
      </xdr:nvGrpSpPr>
      <xdr:grpSpPr>
        <a:xfrm>
          <a:off x="5467350" y="2676525"/>
          <a:ext cx="1438275" cy="1781175"/>
          <a:chOff x="9067" y="4200"/>
          <a:chExt cx="2393" cy="2800"/>
        </a:xfrm>
        <a:solidFill>
          <a:srgbClr val="FFFFFF"/>
        </a:solidFill>
      </xdr:grpSpPr>
      <xdr:sp fLocksText="0">
        <xdr:nvSpPr>
          <xdr:cNvPr id="2" name="Text 75"/>
          <xdr:cNvSpPr txBox="1">
            <a:spLocks noChangeArrowheads="1"/>
          </xdr:cNvSpPr>
        </xdr:nvSpPr>
        <xdr:spPr>
          <a:xfrm>
            <a:off x="10514" y="5561"/>
            <a:ext cx="696" cy="528"/>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ER</a:t>
            </a:r>
          </a:p>
        </xdr:txBody>
      </xdr:sp>
      <xdr:sp fLocksText="0">
        <xdr:nvSpPr>
          <xdr:cNvPr id="3" name="Text 76"/>
          <xdr:cNvSpPr txBox="1">
            <a:spLocks noChangeArrowheads="1"/>
          </xdr:cNvSpPr>
        </xdr:nvSpPr>
        <xdr:spPr>
          <a:xfrm>
            <a:off x="10630" y="5067"/>
            <a:ext cx="401" cy="319"/>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FF00FF"/>
                </a:solidFill>
                <a:latin typeface="Arial"/>
                <a:ea typeface="Arial"/>
                <a:cs typeface="Arial"/>
              </a:rPr>
              <a:t>D</a:t>
            </a:r>
          </a:p>
        </xdr:txBody>
      </xdr:sp>
      <xdr:sp fLocksText="0">
        <xdr:nvSpPr>
          <xdr:cNvPr id="4" name="Text 77"/>
          <xdr:cNvSpPr txBox="1">
            <a:spLocks noChangeArrowheads="1"/>
          </xdr:cNvSpPr>
        </xdr:nvSpPr>
        <xdr:spPr>
          <a:xfrm>
            <a:off x="9764" y="5101"/>
            <a:ext cx="481" cy="441"/>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FF"/>
                </a:solidFill>
                <a:latin typeface="Arial"/>
                <a:ea typeface="Arial"/>
                <a:cs typeface="Arial"/>
              </a:rPr>
              <a:t>d</a:t>
            </a:r>
          </a:p>
        </xdr:txBody>
      </xdr:sp>
      <xdr:sp>
        <xdr:nvSpPr>
          <xdr:cNvPr id="5" name="Oval 78"/>
          <xdr:cNvSpPr>
            <a:spLocks/>
          </xdr:cNvSpPr>
        </xdr:nvSpPr>
        <xdr:spPr>
          <a:xfrm>
            <a:off x="9380" y="4520"/>
            <a:ext cx="1785" cy="1724"/>
          </a:xfrm>
          <a:prstGeom prst="ellipse">
            <a:avLst/>
          </a:prstGeom>
          <a:noFill/>
          <a:ln w="19080" cmpd="sng">
            <a:solidFill>
              <a:srgbClr val="FF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Oval 79"/>
          <xdr:cNvSpPr>
            <a:spLocks/>
          </xdr:cNvSpPr>
        </xdr:nvSpPr>
        <xdr:spPr>
          <a:xfrm>
            <a:off x="9666" y="5006"/>
            <a:ext cx="785" cy="762"/>
          </a:xfrm>
          <a:prstGeom prst="ellipse">
            <a:avLst/>
          </a:prstGeom>
          <a:noFill/>
          <a:ln w="1908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80"/>
          <xdr:cNvSpPr>
            <a:spLocks/>
          </xdr:cNvSpPr>
        </xdr:nvSpPr>
        <xdr:spPr>
          <a:xfrm>
            <a:off x="10282" y="4200"/>
            <a:ext cx="0" cy="2765"/>
          </a:xfrm>
          <a:prstGeom prst="line">
            <a:avLst/>
          </a:prstGeom>
          <a:noFill/>
          <a:ln w="1908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1"/>
          <xdr:cNvSpPr>
            <a:spLocks/>
          </xdr:cNvSpPr>
        </xdr:nvSpPr>
        <xdr:spPr>
          <a:xfrm>
            <a:off x="9067" y="5388"/>
            <a:ext cx="2393" cy="0"/>
          </a:xfrm>
          <a:prstGeom prst="line">
            <a:avLst/>
          </a:prstGeom>
          <a:noFill/>
          <a:ln w="1908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82"/>
          <xdr:cNvSpPr>
            <a:spLocks/>
          </xdr:cNvSpPr>
        </xdr:nvSpPr>
        <xdr:spPr>
          <a:xfrm>
            <a:off x="10041" y="5379"/>
            <a:ext cx="0" cy="1568"/>
          </a:xfrm>
          <a:prstGeom prst="line">
            <a:avLst/>
          </a:prstGeom>
          <a:noFill/>
          <a:ln w="19080" cmpd="sng">
            <a:solidFill>
              <a:srgbClr val="1A1A1A"/>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83"/>
          <xdr:cNvSpPr>
            <a:spLocks/>
          </xdr:cNvSpPr>
        </xdr:nvSpPr>
        <xdr:spPr>
          <a:xfrm flipV="1">
            <a:off x="9630" y="4798"/>
            <a:ext cx="1267" cy="1221"/>
          </a:xfrm>
          <a:prstGeom prst="line">
            <a:avLst/>
          </a:prstGeom>
          <a:noFill/>
          <a:ln w="19080" cmpd="sng">
            <a:solidFill>
              <a:srgbClr val="FF00FF"/>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84"/>
          <xdr:cNvSpPr>
            <a:spLocks/>
          </xdr:cNvSpPr>
        </xdr:nvSpPr>
        <xdr:spPr>
          <a:xfrm flipV="1">
            <a:off x="9764" y="5118"/>
            <a:ext cx="561" cy="545"/>
          </a:xfrm>
          <a:prstGeom prst="line">
            <a:avLst/>
          </a:prstGeom>
          <a:noFill/>
          <a:ln w="19080" cmpd="sng">
            <a:solidFill>
              <a:srgbClr val="0000FF"/>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85"/>
          <xdr:cNvSpPr>
            <a:spLocks/>
          </xdr:cNvSpPr>
        </xdr:nvSpPr>
        <xdr:spPr>
          <a:xfrm>
            <a:off x="9273" y="6740"/>
            <a:ext cx="767" cy="0"/>
          </a:xfrm>
          <a:prstGeom prst="line">
            <a:avLst/>
          </a:prstGeom>
          <a:noFill/>
          <a:ln w="1908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86"/>
          <xdr:cNvSpPr>
            <a:spLocks/>
          </xdr:cNvSpPr>
        </xdr:nvSpPr>
        <xdr:spPr>
          <a:xfrm flipH="1">
            <a:off x="10300" y="6740"/>
            <a:ext cx="580" cy="0"/>
          </a:xfrm>
          <a:prstGeom prst="line">
            <a:avLst/>
          </a:prstGeom>
          <a:noFill/>
          <a:ln w="1908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4" name="Text 87"/>
          <xdr:cNvSpPr txBox="1">
            <a:spLocks noChangeArrowheads="1"/>
          </xdr:cNvSpPr>
        </xdr:nvSpPr>
        <xdr:spPr>
          <a:xfrm>
            <a:off x="10988" y="6602"/>
            <a:ext cx="365" cy="398"/>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c</a:t>
            </a:r>
          </a:p>
        </xdr:txBody>
      </xdr:sp>
    </xdr:grpSp>
    <xdr:clientData/>
  </xdr:twoCellAnchor>
  <xdr:twoCellAnchor>
    <xdr:from>
      <xdr:col>7</xdr:col>
      <xdr:colOff>523875</xdr:colOff>
      <xdr:row>26</xdr:row>
      <xdr:rowOff>152400</xdr:rowOff>
    </xdr:from>
    <xdr:to>
      <xdr:col>11</xdr:col>
      <xdr:colOff>190500</xdr:colOff>
      <xdr:row>41</xdr:row>
      <xdr:rowOff>95250</xdr:rowOff>
    </xdr:to>
    <xdr:grpSp>
      <xdr:nvGrpSpPr>
        <xdr:cNvPr id="15" name="Group 93"/>
        <xdr:cNvGrpSpPr>
          <a:grpSpLocks/>
        </xdr:cNvGrpSpPr>
      </xdr:nvGrpSpPr>
      <xdr:grpSpPr>
        <a:xfrm>
          <a:off x="7029450" y="4362450"/>
          <a:ext cx="2324100" cy="2371725"/>
          <a:chOff x="11658" y="6845"/>
          <a:chExt cx="3840" cy="3725"/>
        </a:xfrm>
        <a:solidFill>
          <a:srgbClr val="FFFFFF"/>
        </a:solidFill>
      </xdr:grpSpPr>
      <xdr:sp fLocksText="0">
        <xdr:nvSpPr>
          <xdr:cNvPr id="16" name="Text 94"/>
          <xdr:cNvSpPr txBox="1">
            <a:spLocks noChangeArrowheads="1"/>
          </xdr:cNvSpPr>
        </xdr:nvSpPr>
        <xdr:spPr>
          <a:xfrm>
            <a:off x="12888" y="8208"/>
            <a:ext cx="566" cy="41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a</a:t>
            </a:r>
          </a:p>
        </xdr:txBody>
      </xdr:sp>
      <xdr:sp fLocksText="0">
        <xdr:nvSpPr>
          <xdr:cNvPr id="17" name="Text 95"/>
          <xdr:cNvSpPr txBox="1">
            <a:spLocks noChangeArrowheads="1"/>
          </xdr:cNvSpPr>
        </xdr:nvSpPr>
        <xdr:spPr>
          <a:xfrm>
            <a:off x="13605" y="7583"/>
            <a:ext cx="566" cy="41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b</a:t>
            </a:r>
          </a:p>
        </xdr:txBody>
      </xdr:sp>
      <xdr:sp fLocksText="0">
        <xdr:nvSpPr>
          <xdr:cNvPr id="18" name="Text 96"/>
          <xdr:cNvSpPr txBox="1">
            <a:spLocks noChangeArrowheads="1"/>
          </xdr:cNvSpPr>
        </xdr:nvSpPr>
        <xdr:spPr>
          <a:xfrm>
            <a:off x="14289" y="7802"/>
            <a:ext cx="566" cy="4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c</a:t>
            </a:r>
          </a:p>
        </xdr:txBody>
      </xdr:sp>
      <xdr:sp>
        <xdr:nvSpPr>
          <xdr:cNvPr id="19" name="Oval 97"/>
          <xdr:cNvSpPr>
            <a:spLocks/>
          </xdr:cNvSpPr>
        </xdr:nvSpPr>
        <xdr:spPr>
          <a:xfrm>
            <a:off x="11658" y="6845"/>
            <a:ext cx="3840" cy="3725"/>
          </a:xfrm>
          <a:prstGeom prst="ellipse">
            <a:avLst/>
          </a:prstGeom>
          <a:no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Oval 98"/>
          <xdr:cNvSpPr>
            <a:spLocks/>
          </xdr:cNvSpPr>
        </xdr:nvSpPr>
        <xdr:spPr>
          <a:xfrm>
            <a:off x="12043" y="7198"/>
            <a:ext cx="3112" cy="3028"/>
          </a:xfrm>
          <a:prstGeom prst="ellipse">
            <a:avLst/>
          </a:prstGeom>
          <a:no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Oval 99"/>
          <xdr:cNvSpPr>
            <a:spLocks/>
          </xdr:cNvSpPr>
        </xdr:nvSpPr>
        <xdr:spPr>
          <a:xfrm>
            <a:off x="13177" y="8281"/>
            <a:ext cx="876" cy="862"/>
          </a:xfrm>
          <a:prstGeom prst="ellipse">
            <a:avLst/>
          </a:prstGeom>
          <a:solidFill>
            <a:srgbClr val="FFFFFF"/>
          </a:solid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Line 100"/>
          <xdr:cNvSpPr>
            <a:spLocks/>
          </xdr:cNvSpPr>
        </xdr:nvSpPr>
        <xdr:spPr>
          <a:xfrm flipV="1">
            <a:off x="13658" y="7291"/>
            <a:ext cx="480" cy="1425"/>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Line 101"/>
          <xdr:cNvSpPr>
            <a:spLocks/>
          </xdr:cNvSpPr>
        </xdr:nvSpPr>
        <xdr:spPr>
          <a:xfrm flipH="1" flipV="1">
            <a:off x="13283" y="8374"/>
            <a:ext cx="362" cy="311"/>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Line 102"/>
          <xdr:cNvSpPr>
            <a:spLocks/>
          </xdr:cNvSpPr>
        </xdr:nvSpPr>
        <xdr:spPr>
          <a:xfrm flipV="1">
            <a:off x="13679" y="7728"/>
            <a:ext cx="1529" cy="957"/>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2</xdr:col>
      <xdr:colOff>361950</xdr:colOff>
      <xdr:row>20</xdr:row>
      <xdr:rowOff>152400</xdr:rowOff>
    </xdr:to>
    <xdr:grpSp>
      <xdr:nvGrpSpPr>
        <xdr:cNvPr id="1" name="Group 1"/>
        <xdr:cNvGrpSpPr>
          <a:grpSpLocks/>
        </xdr:cNvGrpSpPr>
      </xdr:nvGrpSpPr>
      <xdr:grpSpPr>
        <a:xfrm>
          <a:off x="0" y="1619250"/>
          <a:ext cx="2105025" cy="2095500"/>
          <a:chOff x="0" y="2540"/>
          <a:chExt cx="3492" cy="3293"/>
        </a:xfrm>
        <a:solidFill>
          <a:srgbClr val="FFFFFF"/>
        </a:solidFill>
      </xdr:grpSpPr>
      <xdr:sp fLocksText="0">
        <xdr:nvSpPr>
          <xdr:cNvPr id="2" name="Text 2"/>
          <xdr:cNvSpPr txBox="1">
            <a:spLocks noChangeArrowheads="1"/>
          </xdr:cNvSpPr>
        </xdr:nvSpPr>
        <xdr:spPr>
          <a:xfrm>
            <a:off x="1119" y="3746"/>
            <a:ext cx="514" cy="367"/>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a</a:t>
            </a:r>
          </a:p>
        </xdr:txBody>
      </xdr:sp>
      <xdr:sp fLocksText="0">
        <xdr:nvSpPr>
          <xdr:cNvPr id="3" name="Text 3"/>
          <xdr:cNvSpPr txBox="1">
            <a:spLocks noChangeArrowheads="1"/>
          </xdr:cNvSpPr>
        </xdr:nvSpPr>
        <xdr:spPr>
          <a:xfrm>
            <a:off x="1771" y="3194"/>
            <a:ext cx="514" cy="367"/>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b</a:t>
            </a:r>
          </a:p>
        </xdr:txBody>
      </xdr:sp>
      <xdr:sp fLocksText="0">
        <xdr:nvSpPr>
          <xdr:cNvPr id="4" name="Text 4"/>
          <xdr:cNvSpPr txBox="1">
            <a:spLocks noChangeArrowheads="1"/>
          </xdr:cNvSpPr>
        </xdr:nvSpPr>
        <xdr:spPr>
          <a:xfrm>
            <a:off x="2394" y="3387"/>
            <a:ext cx="514" cy="376"/>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c</a:t>
            </a:r>
          </a:p>
        </xdr:txBody>
      </xdr:sp>
      <xdr:sp>
        <xdr:nvSpPr>
          <xdr:cNvPr id="5" name="Oval 5"/>
          <xdr:cNvSpPr>
            <a:spLocks/>
          </xdr:cNvSpPr>
        </xdr:nvSpPr>
        <xdr:spPr>
          <a:xfrm>
            <a:off x="0" y="2540"/>
            <a:ext cx="3492" cy="3293"/>
          </a:xfrm>
          <a:prstGeom prst="ellipse">
            <a:avLst/>
          </a:prstGeom>
          <a:no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Oval 6"/>
          <xdr:cNvSpPr>
            <a:spLocks/>
          </xdr:cNvSpPr>
        </xdr:nvSpPr>
        <xdr:spPr>
          <a:xfrm>
            <a:off x="350" y="2853"/>
            <a:ext cx="2831" cy="2677"/>
          </a:xfrm>
          <a:prstGeom prst="ellipse">
            <a:avLst/>
          </a:prstGeom>
          <a:no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Oval 7"/>
          <xdr:cNvSpPr>
            <a:spLocks/>
          </xdr:cNvSpPr>
        </xdr:nvSpPr>
        <xdr:spPr>
          <a:xfrm>
            <a:off x="1382" y="3810"/>
            <a:ext cx="797" cy="763"/>
          </a:xfrm>
          <a:prstGeom prst="ellipse">
            <a:avLst/>
          </a:prstGeom>
          <a:solidFill>
            <a:srgbClr val="FFFFFF"/>
          </a:solid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flipV="1">
            <a:off x="1820" y="2935"/>
            <a:ext cx="437" cy="1259"/>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flipH="1" flipV="1">
            <a:off x="1479" y="3893"/>
            <a:ext cx="330" cy="275"/>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flipV="1">
            <a:off x="1839" y="3322"/>
            <a:ext cx="1390" cy="845"/>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5</xdr:col>
      <xdr:colOff>19050</xdr:colOff>
      <xdr:row>20</xdr:row>
      <xdr:rowOff>76200</xdr:rowOff>
    </xdr:to>
    <xdr:graphicFrame>
      <xdr:nvGraphicFramePr>
        <xdr:cNvPr id="1" name="Chart 1"/>
        <xdr:cNvGraphicFramePr/>
      </xdr:nvGraphicFramePr>
      <xdr:xfrm>
        <a:off x="342900" y="180975"/>
        <a:ext cx="3533775" cy="3133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5</xdr:col>
      <xdr:colOff>19050</xdr:colOff>
      <xdr:row>20</xdr:row>
      <xdr:rowOff>76200</xdr:rowOff>
    </xdr:to>
    <xdr:graphicFrame>
      <xdr:nvGraphicFramePr>
        <xdr:cNvPr id="1" name="Chart 1"/>
        <xdr:cNvGraphicFramePr/>
      </xdr:nvGraphicFramePr>
      <xdr:xfrm>
        <a:off x="342900" y="180975"/>
        <a:ext cx="3533775" cy="3133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5</xdr:col>
      <xdr:colOff>19050</xdr:colOff>
      <xdr:row>20</xdr:row>
      <xdr:rowOff>76200</xdr:rowOff>
    </xdr:to>
    <xdr:graphicFrame>
      <xdr:nvGraphicFramePr>
        <xdr:cNvPr id="1" name="Chart 1"/>
        <xdr:cNvGraphicFramePr/>
      </xdr:nvGraphicFramePr>
      <xdr:xfrm>
        <a:off x="342900" y="180975"/>
        <a:ext cx="3533775" cy="31337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5</xdr:col>
      <xdr:colOff>19050</xdr:colOff>
      <xdr:row>20</xdr:row>
      <xdr:rowOff>76200</xdr:rowOff>
    </xdr:to>
    <xdr:graphicFrame>
      <xdr:nvGraphicFramePr>
        <xdr:cNvPr id="1" name="Chart 1"/>
        <xdr:cNvGraphicFramePr/>
      </xdr:nvGraphicFramePr>
      <xdr:xfrm>
        <a:off x="342900" y="180975"/>
        <a:ext cx="3533775" cy="3133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5</xdr:col>
      <xdr:colOff>19050</xdr:colOff>
      <xdr:row>20</xdr:row>
      <xdr:rowOff>76200</xdr:rowOff>
    </xdr:to>
    <xdr:graphicFrame>
      <xdr:nvGraphicFramePr>
        <xdr:cNvPr id="1" name="Chart 1"/>
        <xdr:cNvGraphicFramePr/>
      </xdr:nvGraphicFramePr>
      <xdr:xfrm>
        <a:off x="342900" y="180975"/>
        <a:ext cx="3533775" cy="3133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5</xdr:col>
      <xdr:colOff>19050</xdr:colOff>
      <xdr:row>20</xdr:row>
      <xdr:rowOff>76200</xdr:rowOff>
    </xdr:to>
    <xdr:graphicFrame>
      <xdr:nvGraphicFramePr>
        <xdr:cNvPr id="1" name="Chart 1"/>
        <xdr:cNvGraphicFramePr/>
      </xdr:nvGraphicFramePr>
      <xdr:xfrm>
        <a:off x="342900" y="180975"/>
        <a:ext cx="3533775" cy="3133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N26:N26"/>
  <sheetViews>
    <sheetView workbookViewId="0" topLeftCell="A19">
      <selection activeCell="N15" sqref="N15"/>
    </sheetView>
  </sheetViews>
  <sheetFormatPr defaultColWidth="9.140625" defaultRowHeight="12.75"/>
  <sheetData>
    <row r="26" ht="12.75">
      <c r="N26" t="s">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4"/>
  <legacyDrawing r:id="rId3"/>
  <oleObjects>
    <oleObject progId="Microsoft Equation 3.0" shapeId="18215364" r:id="rId1"/>
    <oleObject progId="Microsoft Equation 3.0" shapeId="10831116" r:id="rId2"/>
  </oleObjects>
</worksheet>
</file>

<file path=xl/worksheets/sheet10.xml><?xml version="1.0" encoding="utf-8"?>
<worksheet xmlns="http://schemas.openxmlformats.org/spreadsheetml/2006/main" xmlns:r="http://schemas.openxmlformats.org/officeDocument/2006/relationships">
  <dimension ref="A1:A1"/>
  <sheetViews>
    <sheetView zoomScale="144" zoomScaleNormal="144"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479166666666667" right="2.5" top="0.9840277777777777" bottom="6" header="0.5118055555555555" footer="0.5118055555555555"/>
  <pageSetup horizontalDpi="300" verticalDpi="300" orientation="portrait"/>
  <drawing r:id="rId1"/>
</worksheet>
</file>

<file path=xl/worksheets/sheet11.xml><?xml version="1.0" encoding="utf-8"?>
<worksheet xmlns="http://schemas.openxmlformats.org/spreadsheetml/2006/main" xmlns:r="http://schemas.openxmlformats.org/officeDocument/2006/relationships">
  <dimension ref="A1:A1"/>
  <sheetViews>
    <sheetView zoomScale="144" zoomScaleNormal="144"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479166666666667" right="2.5" top="0.9840277777777777" bottom="6"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B1:AH151"/>
  <sheetViews>
    <sheetView workbookViewId="0" topLeftCell="A79">
      <selection activeCell="C73" sqref="C73"/>
    </sheetView>
  </sheetViews>
  <sheetFormatPr defaultColWidth="9.140625" defaultRowHeight="12.75"/>
  <cols>
    <col min="1" max="1" width="4.28125" style="0" customWidth="1"/>
    <col min="2" max="2" width="29.00390625" style="0" customWidth="1"/>
    <col min="3" max="3" width="14.00390625" style="0" customWidth="1"/>
    <col min="4" max="4" width="13.57421875" style="0" customWidth="1"/>
    <col min="5" max="5" width="15.57421875" style="0" customWidth="1"/>
    <col min="6" max="6" width="11.140625" style="0" customWidth="1"/>
    <col min="7" max="7" width="10.00390625" style="0" customWidth="1"/>
    <col min="8" max="8" width="9.7109375" style="0" customWidth="1"/>
    <col min="10" max="10" width="11.8515625" style="0" customWidth="1"/>
    <col min="29" max="29" width="15.7109375" style="0" customWidth="1"/>
    <col min="31" max="31" width="13.7109375" style="0" customWidth="1"/>
  </cols>
  <sheetData>
    <row r="1" ht="12.75">
      <c r="B1" t="s">
        <v>1</v>
      </c>
    </row>
    <row r="2" ht="12.75">
      <c r="B2" t="s">
        <v>2</v>
      </c>
    </row>
    <row r="3" spans="3:5" ht="12.75">
      <c r="C3" s="1" t="s">
        <v>3</v>
      </c>
      <c r="D3" s="2"/>
      <c r="E3" s="2"/>
    </row>
    <row r="4" spans="3:5" ht="12.75">
      <c r="C4" s="3" t="s">
        <v>4</v>
      </c>
      <c r="D4" s="4"/>
      <c r="E4" s="4"/>
    </row>
    <row r="6" spans="3:5" ht="12.75">
      <c r="C6" s="5" t="s">
        <v>5</v>
      </c>
      <c r="E6" s="5" t="s">
        <v>6</v>
      </c>
    </row>
    <row r="7" spans="3:4" ht="12.75">
      <c r="C7" s="5" t="s">
        <v>7</v>
      </c>
      <c r="D7" s="5" t="s">
        <v>8</v>
      </c>
    </row>
    <row r="8" spans="2:7" ht="12.75">
      <c r="B8" t="s">
        <v>9</v>
      </c>
      <c r="C8" s="6" t="s">
        <v>10</v>
      </c>
      <c r="D8" s="6" t="s">
        <v>11</v>
      </c>
      <c r="E8" s="6" t="s">
        <v>12</v>
      </c>
      <c r="G8" t="s">
        <v>13</v>
      </c>
    </row>
    <row r="9" spans="2:7" ht="12.75">
      <c r="B9" t="s">
        <v>14</v>
      </c>
      <c r="C9" s="7">
        <f>1/C10</f>
        <v>37735849.056603774</v>
      </c>
      <c r="D9" s="7">
        <f>1/D10</f>
        <v>59772863.12014345</v>
      </c>
      <c r="E9" s="7">
        <f>1/E10</f>
        <v>1E-16</v>
      </c>
      <c r="F9" t="s">
        <v>15</v>
      </c>
      <c r="G9" s="8" t="s">
        <v>16</v>
      </c>
    </row>
    <row r="10" spans="2:7" ht="12.75">
      <c r="B10" t="s">
        <v>17</v>
      </c>
      <c r="C10" s="9">
        <f>LOOKUP(C$8,$B$94:$B$124,$F$94:$F$124)</f>
        <v>2.65E-08</v>
      </c>
      <c r="D10" s="9">
        <f>LOOKUP(D$8,$B$94:$B$124,$F$94:$F$124)</f>
        <v>1.673E-08</v>
      </c>
      <c r="E10" s="9">
        <f>LOOKUP(E$8,$B$131:$B$148,$E$131:$E$148)</f>
        <v>10000000000000000</v>
      </c>
      <c r="F10" t="s">
        <v>18</v>
      </c>
      <c r="G10" t="s">
        <v>19</v>
      </c>
    </row>
    <row r="11" spans="2:6" ht="12.75">
      <c r="B11" t="s">
        <v>17</v>
      </c>
      <c r="C11" s="8">
        <f>C10*100</f>
        <v>2.65E-06</v>
      </c>
      <c r="D11" s="8">
        <f>D10*100</f>
        <v>1.6730000000000001E-06</v>
      </c>
      <c r="E11" s="8">
        <f>E10*100</f>
        <v>1E+18</v>
      </c>
      <c r="F11" t="s">
        <v>20</v>
      </c>
    </row>
    <row r="12" spans="2:6" ht="12.75">
      <c r="B12" t="s">
        <v>17</v>
      </c>
      <c r="C12" s="7">
        <f>C10*100000000</f>
        <v>2.65</v>
      </c>
      <c r="D12" s="7">
        <f>D10*100000000</f>
        <v>1.6730000000000003</v>
      </c>
      <c r="E12" s="7">
        <f>E10*100000000</f>
        <v>1E+24</v>
      </c>
      <c r="F12" t="s">
        <v>21</v>
      </c>
    </row>
    <row r="13" spans="2:5" ht="12.75">
      <c r="B13" t="s">
        <v>22</v>
      </c>
      <c r="C13" s="10">
        <f>LOOKUP(C8,B94:B124,H94:H124)</f>
        <v>1</v>
      </c>
      <c r="D13" s="10">
        <f>LOOKUP(D8,B94:B124,H94:H124)</f>
        <v>1</v>
      </c>
      <c r="E13" s="11" t="s">
        <v>23</v>
      </c>
    </row>
    <row r="14" spans="2:7" ht="12.75">
      <c r="B14" s="12" t="s">
        <v>24</v>
      </c>
      <c r="C14" s="13" t="s">
        <v>23</v>
      </c>
      <c r="D14" s="13" t="s">
        <v>23</v>
      </c>
      <c r="E14" s="14">
        <f>LOOKUP(E$8,B$131:B$148,C$131:C$148)</f>
        <v>1.43</v>
      </c>
      <c r="G14" s="8"/>
    </row>
    <row r="15" spans="2:6" ht="12.75">
      <c r="B15" t="s">
        <v>25</v>
      </c>
      <c r="C15" s="13" t="s">
        <v>23</v>
      </c>
      <c r="D15" s="13" t="s">
        <v>23</v>
      </c>
      <c r="E15" s="9">
        <f>LOOKUP(E$8,B$131:B$148,D$131:D$148)</f>
        <v>0.00015</v>
      </c>
      <c r="F15" s="8"/>
    </row>
    <row r="16" spans="6:7" ht="12.75">
      <c r="F16" s="8"/>
      <c r="G16" s="8"/>
    </row>
    <row r="19" ht="12.75">
      <c r="C19" s="5" t="s">
        <v>26</v>
      </c>
    </row>
    <row r="20" spans="2:3" ht="12.75">
      <c r="B20" t="s">
        <v>27</v>
      </c>
      <c r="C20" s="6" t="s">
        <v>28</v>
      </c>
    </row>
    <row r="22" ht="12.75">
      <c r="C22" s="5" t="s">
        <v>29</v>
      </c>
    </row>
    <row r="23" spans="3:4" ht="12.75">
      <c r="C23" s="5" t="s">
        <v>30</v>
      </c>
      <c r="D23" s="5" t="s">
        <v>31</v>
      </c>
    </row>
    <row r="24" spans="2:5" ht="12.75">
      <c r="B24" t="s">
        <v>32</v>
      </c>
      <c r="C24" s="15">
        <v>0.18</v>
      </c>
      <c r="D24" s="15">
        <v>0.0403</v>
      </c>
      <c r="E24" t="str">
        <f>C20</f>
        <v>inches</v>
      </c>
    </row>
    <row r="25" spans="2:5" ht="12.75">
      <c r="B25" t="s">
        <v>33</v>
      </c>
      <c r="C25" s="8">
        <f>IF($C$20="mm",C24/1000,C24*0.0254)</f>
        <v>0.004572</v>
      </c>
      <c r="D25" s="8">
        <f>IF($C$20="mm",D24/1000,D24*0.0254)</f>
        <v>0.00102362</v>
      </c>
      <c r="E25" t="s">
        <v>34</v>
      </c>
    </row>
    <row r="26" spans="2:4" ht="12.75">
      <c r="B26" t="s">
        <v>35</v>
      </c>
      <c r="C26" s="15">
        <v>0</v>
      </c>
      <c r="D26" s="8" t="str">
        <f>C20</f>
        <v>inches</v>
      </c>
    </row>
    <row r="27" spans="2:4" ht="12.75">
      <c r="B27" t="s">
        <v>36</v>
      </c>
      <c r="C27" s="8">
        <f>IF($C$20="mm",C26/1000,C26*0.0254)</f>
        <v>0</v>
      </c>
      <c r="D27" s="8" t="s">
        <v>34</v>
      </c>
    </row>
    <row r="28" spans="2:4" ht="12.75">
      <c r="B28" t="s">
        <v>37</v>
      </c>
      <c r="C28" s="15">
        <v>0.002</v>
      </c>
      <c r="D28" t="str">
        <f>C20</f>
        <v>inches</v>
      </c>
    </row>
    <row r="29" spans="2:4" ht="12.75">
      <c r="B29" t="s">
        <v>38</v>
      </c>
      <c r="C29" s="8">
        <f>IF($C$20="mm",C28/1000,C28*0.0254)</f>
        <v>5.08E-05</v>
      </c>
      <c r="D29" t="s">
        <v>34</v>
      </c>
    </row>
    <row r="30" spans="2:5" ht="12.75">
      <c r="B30" t="s">
        <v>39</v>
      </c>
      <c r="C30" s="15">
        <v>0.003</v>
      </c>
      <c r="D30" s="15">
        <v>0.001</v>
      </c>
      <c r="E30" t="str">
        <f>C20</f>
        <v>inches</v>
      </c>
    </row>
    <row r="31" spans="2:5" ht="12.75">
      <c r="B31" t="s">
        <v>40</v>
      </c>
      <c r="C31" s="8">
        <f>IF($C$20="mm",C30/1000,C30*0.0254)</f>
        <v>7.62E-05</v>
      </c>
      <c r="D31" s="8">
        <f>IF($C$20="mm",D30/1000,D30*0.0254)</f>
        <v>2.54E-05</v>
      </c>
      <c r="E31" t="s">
        <v>34</v>
      </c>
    </row>
    <row r="32" ht="12.75">
      <c r="D32" s="8"/>
    </row>
    <row r="33" spans="3:4" ht="12.75">
      <c r="C33" s="5" t="s">
        <v>30</v>
      </c>
      <c r="D33" s="5" t="s">
        <v>31</v>
      </c>
    </row>
    <row r="34" spans="2:8" ht="12.75">
      <c r="B34" t="s">
        <v>41</v>
      </c>
      <c r="C34" s="16">
        <f>PI()*C29*(C29+C25)</f>
        <v>7.377660895659567E-07</v>
      </c>
      <c r="D34" s="16">
        <f>PI()*D25^2/4</f>
        <v>8.229385497274551E-07</v>
      </c>
      <c r="E34" t="s">
        <v>42</v>
      </c>
      <c r="H34" s="8"/>
    </row>
    <row r="35" spans="2:8" ht="12.75">
      <c r="B35" t="s">
        <v>43</v>
      </c>
      <c r="C35" s="8">
        <f>C10/C34</f>
        <v>0.035919243747825964</v>
      </c>
      <c r="D35" s="8">
        <f>D10/D34</f>
        <v>0.02032958597642646</v>
      </c>
      <c r="E35" t="s">
        <v>44</v>
      </c>
      <c r="H35" s="8"/>
    </row>
    <row r="36" spans="3:8" ht="12.75">
      <c r="C36" s="8"/>
      <c r="D36" s="8"/>
      <c r="H36" s="8"/>
    </row>
    <row r="37" spans="2:4" ht="12.75">
      <c r="B37" t="s">
        <v>45</v>
      </c>
      <c r="C37" s="8">
        <f>D25/2</f>
        <v>0.00051181</v>
      </c>
      <c r="D37" t="s">
        <v>34</v>
      </c>
    </row>
    <row r="38" spans="2:4" ht="12.75">
      <c r="B38" t="s">
        <v>46</v>
      </c>
      <c r="C38" s="8">
        <f>C25/2</f>
        <v>0.002286</v>
      </c>
      <c r="D38" t="s">
        <v>34</v>
      </c>
    </row>
    <row r="39" spans="2:4" ht="12.75">
      <c r="B39" t="s">
        <v>47</v>
      </c>
      <c r="C39" s="8">
        <f>(C25/2+C29)</f>
        <v>0.0023368</v>
      </c>
      <c r="D39" t="s">
        <v>34</v>
      </c>
    </row>
    <row r="41" spans="3:5" ht="12.75">
      <c r="C41" s="5"/>
      <c r="E41" s="8"/>
    </row>
    <row r="42" spans="3:5" ht="12.75">
      <c r="C42" s="16"/>
      <c r="D42" s="8"/>
      <c r="E42" s="8"/>
    </row>
    <row r="43" spans="3:5" ht="12.75">
      <c r="C43" s="5" t="s">
        <v>48</v>
      </c>
      <c r="E43" s="8"/>
    </row>
    <row r="44" spans="2:5" ht="12.75">
      <c r="B44" t="s">
        <v>49</v>
      </c>
      <c r="C44" s="17">
        <f>C24/D24</f>
        <v>4.466501240694789</v>
      </c>
      <c r="E44" s="8"/>
    </row>
    <row r="45" spans="2:5" ht="12.75">
      <c r="B45" t="s">
        <v>50</v>
      </c>
      <c r="C45" s="17">
        <f>60/E14^0.5*LN(C44)</f>
        <v>75.09145756673435</v>
      </c>
      <c r="D45" t="s">
        <v>51</v>
      </c>
      <c r="E45" s="17"/>
    </row>
    <row r="46" spans="2:5" ht="12.75">
      <c r="B46" t="s">
        <v>52</v>
      </c>
      <c r="C46" s="17">
        <f>(60/E14^0.5)*ACOSH(0.5*(C44+1/C44-4*C27^2/C25/D25))</f>
        <v>75.09145756673435</v>
      </c>
      <c r="D46" t="s">
        <v>51</v>
      </c>
      <c r="E46" s="8"/>
    </row>
    <row r="47" spans="2:6" ht="12.75">
      <c r="B47" t="s">
        <v>53</v>
      </c>
      <c r="C47" s="8">
        <f>Calcs!O13</f>
        <v>0.035919243747825964</v>
      </c>
      <c r="D47" s="8" t="s">
        <v>44</v>
      </c>
      <c r="E47" s="8">
        <f>C47/3.28084</f>
        <v>0.01094818514399543</v>
      </c>
      <c r="F47" s="8" t="s">
        <v>54</v>
      </c>
    </row>
    <row r="48" spans="2:6" ht="12.75">
      <c r="B48" t="s">
        <v>55</v>
      </c>
      <c r="C48" s="8">
        <f>Calcs!P13</f>
        <v>0.02032958597642646</v>
      </c>
      <c r="D48" s="8" t="s">
        <v>44</v>
      </c>
      <c r="E48" s="8">
        <f>C48/3.28084</f>
        <v>0.006196457607328142</v>
      </c>
      <c r="F48" s="8" t="s">
        <v>54</v>
      </c>
    </row>
    <row r="49" spans="2:6" ht="12.75">
      <c r="B49" t="s">
        <v>56</v>
      </c>
      <c r="C49" s="17">
        <f>E49/(12*0.0254)</f>
        <v>53.082709980318604</v>
      </c>
      <c r="D49" t="s">
        <v>57</v>
      </c>
      <c r="E49" s="17">
        <f>7.354*E14/LOG(C44)</f>
        <v>16.17961000200111</v>
      </c>
      <c r="F49" t="s">
        <v>58</v>
      </c>
    </row>
    <row r="50" spans="2:6" ht="12.75">
      <c r="B50" t="s">
        <v>59</v>
      </c>
      <c r="C50" s="18">
        <f>E50/(12*0.0254)</f>
        <v>299.39445944321653</v>
      </c>
      <c r="D50" t="s">
        <v>60</v>
      </c>
      <c r="E50" s="18">
        <f>140.4*LOG(C44)</f>
        <v>91.25543123829239</v>
      </c>
      <c r="F50" t="s">
        <v>61</v>
      </c>
    </row>
    <row r="51" spans="2:6" ht="12.75">
      <c r="B51" t="s">
        <v>62</v>
      </c>
      <c r="C51" s="19">
        <f>C49/1000000000000/C82/E14/E10</f>
        <v>4.1924541205421386E-16</v>
      </c>
      <c r="D51" s="8" t="s">
        <v>63</v>
      </c>
      <c r="E51" s="8">
        <f>C51/3.28084</f>
        <v>1.2778599750497247E-16</v>
      </c>
      <c r="F51" t="s">
        <v>64</v>
      </c>
    </row>
    <row r="52" spans="2:6" ht="12.75">
      <c r="B52" t="s">
        <v>65</v>
      </c>
      <c r="C52" s="19">
        <f>8.686*C51*C45/2</f>
        <v>1.36725236208044E-13</v>
      </c>
      <c r="D52" s="8" t="s">
        <v>66</v>
      </c>
      <c r="E52" s="8">
        <f>C52/3.28084</f>
        <v>4.167385066264859E-14</v>
      </c>
      <c r="F52" t="s">
        <v>67</v>
      </c>
    </row>
    <row r="53" spans="2:34" ht="12.75">
      <c r="B53" t="s">
        <v>68</v>
      </c>
      <c r="C53" s="8">
        <f>C83/E14^0.5</f>
        <v>250699047.66288632</v>
      </c>
      <c r="D53" s="8" t="s">
        <v>69</v>
      </c>
      <c r="E53" s="20">
        <f>1/E14^0.5</f>
        <v>0.8362420100070908</v>
      </c>
      <c r="F53" t="s">
        <v>70</v>
      </c>
      <c r="AC53" s="21"/>
      <c r="AE53" s="22"/>
      <c r="AF53" s="8"/>
      <c r="AG53" s="8"/>
      <c r="AH53" s="8"/>
    </row>
    <row r="54" spans="2:5" ht="12.75">
      <c r="B54" t="s">
        <v>71</v>
      </c>
      <c r="C54" s="17">
        <f>IF(C20="inches",7.514/(E14)^0.5/(C24+D24),190.85/(E14)^0.5/(C24+D24))</f>
        <v>28.52257132634262</v>
      </c>
      <c r="D54" s="8" t="s">
        <v>72</v>
      </c>
      <c r="E54" s="8"/>
    </row>
    <row r="55" spans="3:5" ht="12.75">
      <c r="C55" s="17"/>
      <c r="D55" s="8"/>
      <c r="E55" s="8"/>
    </row>
    <row r="56" spans="3:5" ht="12.75">
      <c r="C56" s="23" t="s">
        <v>73</v>
      </c>
      <c r="D56" s="8"/>
      <c r="E56" s="8"/>
    </row>
    <row r="57" spans="3:5" ht="12.75">
      <c r="C57" t="s">
        <v>74</v>
      </c>
      <c r="E57" s="8"/>
    </row>
    <row r="58" spans="2:5" ht="12.75">
      <c r="B58" t="s">
        <v>75</v>
      </c>
      <c r="C58" s="15">
        <v>10000000000</v>
      </c>
      <c r="D58" t="s">
        <v>76</v>
      </c>
      <c r="E58" s="8"/>
    </row>
    <row r="59" spans="2:10" ht="12.75">
      <c r="B59" t="s">
        <v>77</v>
      </c>
      <c r="C59" s="24">
        <v>12</v>
      </c>
      <c r="D59" t="str">
        <f>C20</f>
        <v>inches</v>
      </c>
      <c r="E59" s="25">
        <f>IF($C$20="mm",C59/1000,C59*0.0254)</f>
        <v>0.30479999999999996</v>
      </c>
      <c r="F59" t="s">
        <v>34</v>
      </c>
      <c r="G59" s="26">
        <f>(E59/C67)*360</f>
        <v>4376.881405132047</v>
      </c>
      <c r="H59" t="s">
        <v>78</v>
      </c>
      <c r="I59" s="27" t="s">
        <v>79</v>
      </c>
      <c r="J59" s="27"/>
    </row>
    <row r="60" spans="2:10" ht="12.75">
      <c r="B60" t="s">
        <v>80</v>
      </c>
      <c r="C60" s="16">
        <f>Calcs!O161</f>
        <v>2.2510808221753407</v>
      </c>
      <c r="D60" t="s">
        <v>81</v>
      </c>
      <c r="E60" s="8">
        <f aca="true" t="shared" si="0" ref="E60:E65">C60/3.28084</f>
        <v>0.6861294126429026</v>
      </c>
      <c r="F60" t="s">
        <v>82</v>
      </c>
      <c r="G60" s="8">
        <f aca="true" t="shared" si="1" ref="G60:G65">E60/12</f>
        <v>0.05717745105357522</v>
      </c>
      <c r="H60" t="s">
        <v>83</v>
      </c>
      <c r="I60" s="28">
        <f aca="true" t="shared" si="2" ref="I60:I65">$E$59*C60</f>
        <v>0.6861294345990437</v>
      </c>
      <c r="J60" s="27" t="s">
        <v>84</v>
      </c>
    </row>
    <row r="61" spans="2:10" ht="12.75">
      <c r="B61" t="s">
        <v>85</v>
      </c>
      <c r="C61" s="16">
        <f>Calcs!P161</f>
        <v>8.001878305335593</v>
      </c>
      <c r="D61" t="s">
        <v>81</v>
      </c>
      <c r="E61" s="8">
        <f t="shared" si="0"/>
        <v>2.438972429419171</v>
      </c>
      <c r="F61" t="s">
        <v>82</v>
      </c>
      <c r="G61" s="8">
        <f t="shared" si="1"/>
        <v>0.2032477024515976</v>
      </c>
      <c r="H61" t="s">
        <v>83</v>
      </c>
      <c r="I61" s="28">
        <f t="shared" si="2"/>
        <v>2.4389725074662882</v>
      </c>
      <c r="J61" s="27" t="s">
        <v>84</v>
      </c>
    </row>
    <row r="62" spans="2:10" ht="12.75">
      <c r="B62" t="s">
        <v>86</v>
      </c>
      <c r="C62" s="8">
        <f>Calcs!Q161</f>
        <v>0.13019382400480245</v>
      </c>
      <c r="D62" s="8" t="s">
        <v>87</v>
      </c>
      <c r="E62" s="8">
        <f t="shared" si="0"/>
        <v>0.03968307628680535</v>
      </c>
      <c r="F62" t="s">
        <v>67</v>
      </c>
      <c r="G62" s="8">
        <f t="shared" si="1"/>
        <v>0.0033069230239004457</v>
      </c>
      <c r="H62" t="s">
        <v>88</v>
      </c>
      <c r="I62" s="28">
        <f t="shared" si="2"/>
        <v>0.03968307755666378</v>
      </c>
      <c r="J62" s="27" t="s">
        <v>89</v>
      </c>
    </row>
    <row r="63" spans="2:10" ht="12.75">
      <c r="B63" t="s">
        <v>90</v>
      </c>
      <c r="C63" s="8">
        <f>Calcs!R161</f>
        <v>0.4627977483216113</v>
      </c>
      <c r="D63" s="8" t="s">
        <v>87</v>
      </c>
      <c r="E63" s="8">
        <f t="shared" si="0"/>
        <v>0.14106074917448316</v>
      </c>
      <c r="F63" t="s">
        <v>67</v>
      </c>
      <c r="G63" s="8">
        <f t="shared" si="1"/>
        <v>0.01175506243120693</v>
      </c>
      <c r="H63" t="s">
        <v>88</v>
      </c>
      <c r="I63" s="28">
        <f t="shared" si="2"/>
        <v>0.1410607536884271</v>
      </c>
      <c r="J63" s="27" t="s">
        <v>89</v>
      </c>
    </row>
    <row r="64" spans="2:10" ht="12.75">
      <c r="B64" t="s">
        <v>91</v>
      </c>
      <c r="C64" s="8">
        <f>Calcs!AA161</f>
        <v>0.16334326110031835</v>
      </c>
      <c r="D64" s="8" t="s">
        <v>87</v>
      </c>
      <c r="E64" s="8">
        <f t="shared" si="0"/>
        <v>0.04978702439019225</v>
      </c>
      <c r="F64" t="s">
        <v>67</v>
      </c>
      <c r="G64" s="8">
        <f t="shared" si="1"/>
        <v>0.004148918699182688</v>
      </c>
      <c r="H64" t="s">
        <v>88</v>
      </c>
      <c r="I64" s="28">
        <f t="shared" si="2"/>
        <v>0.04978702598337703</v>
      </c>
      <c r="J64" s="27" t="s">
        <v>89</v>
      </c>
    </row>
    <row r="65" spans="2:10" ht="12.75">
      <c r="B65" t="s">
        <v>92</v>
      </c>
      <c r="C65" s="8">
        <f>Calcs!AE161</f>
        <v>1.3691559855720513E-13</v>
      </c>
      <c r="D65" s="8" t="s">
        <v>87</v>
      </c>
      <c r="E65" s="8">
        <f t="shared" si="0"/>
        <v>4.173187310481619E-14</v>
      </c>
      <c r="F65" t="s">
        <v>67</v>
      </c>
      <c r="G65" s="8">
        <f t="shared" si="1"/>
        <v>3.4776560920680155E-15</v>
      </c>
      <c r="H65" t="s">
        <v>88</v>
      </c>
      <c r="I65" s="28">
        <f t="shared" si="2"/>
        <v>4.173187444023612E-14</v>
      </c>
      <c r="J65" s="27" t="s">
        <v>89</v>
      </c>
    </row>
    <row r="66" spans="2:10" ht="12.75">
      <c r="B66" t="s">
        <v>93</v>
      </c>
      <c r="C66" s="8">
        <f>SUM(C62:C65)</f>
        <v>0.7563348334268689</v>
      </c>
      <c r="D66" s="8" t="s">
        <v>87</v>
      </c>
      <c r="E66" s="8">
        <f>SUM(E62:E65)</f>
        <v>0.2305308498515225</v>
      </c>
      <c r="F66" t="s">
        <v>67</v>
      </c>
      <c r="G66" s="8">
        <f>SUM(G62:G65)</f>
        <v>0.019210904154293537</v>
      </c>
      <c r="H66" t="s">
        <v>88</v>
      </c>
      <c r="I66" s="29">
        <f>SUM(I62:I65)</f>
        <v>0.23053085722850966</v>
      </c>
      <c r="J66" s="30" t="s">
        <v>89</v>
      </c>
    </row>
    <row r="67" spans="2:10" ht="12.75">
      <c r="B67" t="s">
        <v>94</v>
      </c>
      <c r="C67" s="8">
        <f>C83/C58/E14^0.5</f>
        <v>0.02506990476628863</v>
      </c>
      <c r="D67" s="8" t="s">
        <v>95</v>
      </c>
      <c r="E67" s="8">
        <f>C67*3.28084</f>
        <v>0.08225034635343038</v>
      </c>
      <c r="F67" t="s">
        <v>96</v>
      </c>
      <c r="G67" s="8">
        <f>E67*12</f>
        <v>0.9870041562411647</v>
      </c>
      <c r="H67" t="s">
        <v>28</v>
      </c>
      <c r="I67" s="16"/>
      <c r="J67" s="31"/>
    </row>
    <row r="68" spans="2:8" ht="12.75">
      <c r="B68" t="s">
        <v>97</v>
      </c>
      <c r="C68" s="8">
        <f>C67/2</f>
        <v>0.012534952383144315</v>
      </c>
      <c r="D68" s="8" t="s">
        <v>95</v>
      </c>
      <c r="E68" s="8">
        <f>C68*3.28084</f>
        <v>0.04112517317671519</v>
      </c>
      <c r="F68" t="s">
        <v>96</v>
      </c>
      <c r="G68" s="8">
        <f>E68*12</f>
        <v>0.49350207812058233</v>
      </c>
      <c r="H68" t="s">
        <v>28</v>
      </c>
    </row>
    <row r="69" spans="2:8" ht="12.75">
      <c r="B69" t="s">
        <v>98</v>
      </c>
      <c r="C69" s="8">
        <f>C68/2</f>
        <v>0.006267476191572158</v>
      </c>
      <c r="D69" s="8" t="s">
        <v>95</v>
      </c>
      <c r="E69" s="8">
        <f>C69*3.28084</f>
        <v>0.020562586588357596</v>
      </c>
      <c r="F69" t="s">
        <v>96</v>
      </c>
      <c r="G69" s="8">
        <f>E69*12</f>
        <v>0.24675103906029117</v>
      </c>
      <c r="H69" t="s">
        <v>28</v>
      </c>
    </row>
    <row r="70" spans="3:6" ht="12.75">
      <c r="C70" s="8"/>
      <c r="D70" s="8"/>
      <c r="F70" s="8"/>
    </row>
    <row r="71" ht="12.75">
      <c r="C71" s="5" t="s">
        <v>99</v>
      </c>
    </row>
    <row r="72" spans="2:5" ht="12.75">
      <c r="B72" t="s">
        <v>100</v>
      </c>
      <c r="C72" s="4">
        <v>1</v>
      </c>
      <c r="D72" s="8" t="s">
        <v>76</v>
      </c>
      <c r="E72" t="s">
        <v>101</v>
      </c>
    </row>
    <row r="73" spans="2:5" ht="12.75">
      <c r="B73" t="s">
        <v>102</v>
      </c>
      <c r="C73" s="32">
        <f>C54*1000000000</f>
        <v>28522571326.34262</v>
      </c>
      <c r="D73" s="8" t="s">
        <v>76</v>
      </c>
      <c r="E73" t="s">
        <v>103</v>
      </c>
    </row>
    <row r="74" spans="2:5" ht="12.75">
      <c r="B74" t="s">
        <v>104</v>
      </c>
      <c r="C74" s="33">
        <f>(C73/C72)^(1/143)</f>
        <v>1.18334997929274</v>
      </c>
      <c r="E74" t="s">
        <v>105</v>
      </c>
    </row>
    <row r="75" ht="12.75">
      <c r="C75" s="33"/>
    </row>
    <row r="76" ht="12.75">
      <c r="C76" s="33"/>
    </row>
    <row r="77" ht="12.75">
      <c r="C77" s="33"/>
    </row>
    <row r="78" ht="12.75">
      <c r="C78" s="33"/>
    </row>
    <row r="80" ht="12.75">
      <c r="C80" s="5" t="s">
        <v>106</v>
      </c>
    </row>
    <row r="81" spans="2:4" ht="12.75">
      <c r="B81" t="s">
        <v>107</v>
      </c>
      <c r="C81" s="19">
        <f>4*PI()*0.0000001</f>
        <v>1.2566370614359173E-06</v>
      </c>
      <c r="D81" t="s">
        <v>108</v>
      </c>
    </row>
    <row r="82" spans="2:4" ht="12.75">
      <c r="B82" s="34" t="s">
        <v>109</v>
      </c>
      <c r="C82" s="35">
        <v>8.85418782E-12</v>
      </c>
      <c r="D82" t="s">
        <v>110</v>
      </c>
    </row>
    <row r="83" spans="2:4" ht="12.75">
      <c r="B83" t="s">
        <v>111</v>
      </c>
      <c r="C83" s="8">
        <v>299792458</v>
      </c>
      <c r="D83" t="s">
        <v>69</v>
      </c>
    </row>
    <row r="84" spans="2:3" ht="12.75">
      <c r="B84" t="s">
        <v>112</v>
      </c>
      <c r="C84" s="36">
        <f>100/2.54/12</f>
        <v>3.2808398950131235</v>
      </c>
    </row>
    <row r="90" spans="2:4" ht="12.75">
      <c r="B90" s="30" t="s">
        <v>113</v>
      </c>
      <c r="C90" s="30"/>
      <c r="D90" s="30"/>
    </row>
    <row r="91" ht="12.75">
      <c r="B91" t="s">
        <v>114</v>
      </c>
    </row>
    <row r="92" spans="2:8" ht="12.75">
      <c r="B92" s="37"/>
      <c r="C92" s="38"/>
      <c r="D92" s="38" t="s">
        <v>115</v>
      </c>
      <c r="E92" s="38"/>
      <c r="F92" s="38"/>
      <c r="G92" s="38" t="s">
        <v>116</v>
      </c>
      <c r="H92" s="38" t="s">
        <v>117</v>
      </c>
    </row>
    <row r="93" spans="2:11" ht="12.75">
      <c r="B93" s="37" t="s">
        <v>9</v>
      </c>
      <c r="C93" s="38" t="s">
        <v>118</v>
      </c>
      <c r="D93" s="38" t="s">
        <v>119</v>
      </c>
      <c r="E93" s="38" t="s">
        <v>20</v>
      </c>
      <c r="F93" s="38" t="s">
        <v>120</v>
      </c>
      <c r="G93" s="38" t="s">
        <v>121</v>
      </c>
      <c r="H93" s="38"/>
      <c r="J93" s="27" t="s">
        <v>122</v>
      </c>
      <c r="K93" s="27"/>
    </row>
    <row r="94" spans="2:11" ht="12.75">
      <c r="B94" s="39" t="s">
        <v>123</v>
      </c>
      <c r="C94" s="40" t="s">
        <v>124</v>
      </c>
      <c r="D94" s="41">
        <v>195</v>
      </c>
      <c r="E94" s="42">
        <f aca="true" t="shared" si="3" ref="E94:E102">D94/1000000</f>
        <v>0.000195</v>
      </c>
      <c r="F94" s="42">
        <f aca="true" t="shared" si="4" ref="F94:F102">E94/100</f>
        <v>1.95E-06</v>
      </c>
      <c r="G94" s="42">
        <f aca="true" t="shared" si="5" ref="G94:G102">1/F94</f>
        <v>512820.5128205128</v>
      </c>
      <c r="H94" s="43">
        <v>1</v>
      </c>
      <c r="J94" s="27" t="s">
        <v>125</v>
      </c>
      <c r="K94" s="27"/>
    </row>
    <row r="95" spans="2:11" ht="12.75">
      <c r="B95" s="39" t="s">
        <v>126</v>
      </c>
      <c r="C95" s="40"/>
      <c r="D95" s="41">
        <v>1</v>
      </c>
      <c r="E95" s="42">
        <f t="shared" si="3"/>
        <v>1E-06</v>
      </c>
      <c r="F95" s="42">
        <f t="shared" si="4"/>
        <v>1E-08</v>
      </c>
      <c r="G95" s="42">
        <f t="shared" si="5"/>
        <v>100000000</v>
      </c>
      <c r="H95" s="43">
        <v>1</v>
      </c>
      <c r="J95" s="28" t="s">
        <v>28</v>
      </c>
      <c r="K95" s="27"/>
    </row>
    <row r="96" spans="2:8" ht="12.75">
      <c r="B96" s="39" t="s">
        <v>127</v>
      </c>
      <c r="C96" s="40"/>
      <c r="D96" s="41">
        <v>1</v>
      </c>
      <c r="E96" s="42">
        <f t="shared" si="3"/>
        <v>1E-06</v>
      </c>
      <c r="F96" s="42">
        <f t="shared" si="4"/>
        <v>1E-08</v>
      </c>
      <c r="G96" s="42">
        <f t="shared" si="5"/>
        <v>100000000</v>
      </c>
      <c r="H96" s="43">
        <v>1</v>
      </c>
    </row>
    <row r="97" spans="2:8" ht="12.75">
      <c r="B97" s="37" t="s">
        <v>10</v>
      </c>
      <c r="C97" s="44" t="s">
        <v>128</v>
      </c>
      <c r="D97" s="45" t="s">
        <v>129</v>
      </c>
      <c r="E97" s="42">
        <f t="shared" si="3"/>
        <v>2.65E-06</v>
      </c>
      <c r="F97" s="42">
        <f t="shared" si="4"/>
        <v>2.65E-08</v>
      </c>
      <c r="G97" s="42">
        <f t="shared" si="5"/>
        <v>37735849.056603774</v>
      </c>
      <c r="H97" s="43">
        <v>1</v>
      </c>
    </row>
    <row r="98" spans="2:8" ht="12.75">
      <c r="B98" s="37" t="s">
        <v>130</v>
      </c>
      <c r="C98" s="44"/>
      <c r="D98" s="45"/>
      <c r="E98" s="42"/>
      <c r="F98" s="42"/>
      <c r="G98" s="42">
        <v>15000000</v>
      </c>
      <c r="H98" s="43"/>
    </row>
    <row r="99" spans="2:8" ht="12.75">
      <c r="B99" s="37" t="s">
        <v>131</v>
      </c>
      <c r="C99" s="44"/>
      <c r="D99" s="45"/>
      <c r="E99" s="42"/>
      <c r="F99" s="42"/>
      <c r="G99" s="42">
        <v>10000000</v>
      </c>
      <c r="H99" s="43"/>
    </row>
    <row r="100" spans="2:8" ht="12.75">
      <c r="B100" s="46" t="s">
        <v>132</v>
      </c>
      <c r="C100" s="44" t="s">
        <v>133</v>
      </c>
      <c r="D100" s="45" t="s">
        <v>134</v>
      </c>
      <c r="E100" s="42">
        <f t="shared" si="3"/>
        <v>0.003</v>
      </c>
      <c r="F100" s="42">
        <f t="shared" si="4"/>
        <v>3E-05</v>
      </c>
      <c r="G100" s="42">
        <f t="shared" si="5"/>
        <v>33333.333333333336</v>
      </c>
      <c r="H100" s="43">
        <v>1</v>
      </c>
    </row>
    <row r="101" spans="2:8" ht="12.75">
      <c r="B101" s="37" t="s">
        <v>135</v>
      </c>
      <c r="C101" s="44" t="s">
        <v>136</v>
      </c>
      <c r="D101" s="45" t="s">
        <v>137</v>
      </c>
      <c r="E101" s="42">
        <f t="shared" si="3"/>
        <v>1.8E-05</v>
      </c>
      <c r="F101" s="42">
        <f t="shared" si="4"/>
        <v>1.8E-07</v>
      </c>
      <c r="G101" s="42">
        <f t="shared" si="5"/>
        <v>5555555.555555556</v>
      </c>
      <c r="H101" s="43">
        <v>1</v>
      </c>
    </row>
    <row r="102" spans="2:8" ht="12.75">
      <c r="B102" s="37" t="s">
        <v>11</v>
      </c>
      <c r="C102" s="44" t="s">
        <v>138</v>
      </c>
      <c r="D102" s="45" t="s">
        <v>139</v>
      </c>
      <c r="E102" s="42">
        <f t="shared" si="3"/>
        <v>1.6730000000000001E-06</v>
      </c>
      <c r="F102" s="42">
        <f t="shared" si="4"/>
        <v>1.673E-08</v>
      </c>
      <c r="G102" s="42">
        <f t="shared" si="5"/>
        <v>59772863.12014345</v>
      </c>
      <c r="H102" s="43">
        <v>1</v>
      </c>
    </row>
    <row r="103" spans="2:8" ht="12.75">
      <c r="B103" s="37" t="s">
        <v>140</v>
      </c>
      <c r="C103" s="44" t="s">
        <v>141</v>
      </c>
      <c r="D103" s="45" t="s">
        <v>142</v>
      </c>
      <c r="E103" s="42">
        <f aca="true" t="shared" si="6" ref="E103:E124">D103/1000000</f>
        <v>2.44E-06</v>
      </c>
      <c r="F103" s="42">
        <f aca="true" t="shared" si="7" ref="F103:F124">E103/100</f>
        <v>2.44E-08</v>
      </c>
      <c r="G103" s="42">
        <f aca="true" t="shared" si="8" ref="G103:G124">1/F103</f>
        <v>40983606.55737705</v>
      </c>
      <c r="H103" s="43">
        <v>1</v>
      </c>
    </row>
    <row r="104" spans="2:8" ht="12.75">
      <c r="B104" s="37" t="s">
        <v>143</v>
      </c>
      <c r="C104" s="44" t="s">
        <v>144</v>
      </c>
      <c r="D104" s="45" t="s">
        <v>145</v>
      </c>
      <c r="E104" s="42">
        <f t="shared" si="6"/>
        <v>1.552E-05</v>
      </c>
      <c r="F104" s="42">
        <f t="shared" si="7"/>
        <v>1.5520000000000001E-07</v>
      </c>
      <c r="G104" s="42">
        <f t="shared" si="8"/>
        <v>6443298.969072164</v>
      </c>
      <c r="H104" s="43">
        <v>1</v>
      </c>
    </row>
    <row r="105" spans="2:8" ht="12.75">
      <c r="B105" s="37" t="s">
        <v>146</v>
      </c>
      <c r="C105" s="44" t="s">
        <v>147</v>
      </c>
      <c r="D105" s="45" t="s">
        <v>148</v>
      </c>
      <c r="E105" s="42">
        <f t="shared" si="6"/>
        <v>5.3E-06</v>
      </c>
      <c r="F105" s="42">
        <f t="shared" si="7"/>
        <v>5.3E-08</v>
      </c>
      <c r="G105" s="42">
        <f t="shared" si="8"/>
        <v>18867924.528301887</v>
      </c>
      <c r="H105" s="43">
        <v>1</v>
      </c>
    </row>
    <row r="106" spans="2:8" ht="12.75">
      <c r="B106" s="37" t="s">
        <v>149</v>
      </c>
      <c r="C106" s="44" t="s">
        <v>150</v>
      </c>
      <c r="D106" s="45" t="s">
        <v>151</v>
      </c>
      <c r="E106" s="42">
        <f t="shared" si="6"/>
        <v>9.66E-06</v>
      </c>
      <c r="F106" s="42">
        <f t="shared" si="7"/>
        <v>9.66E-08</v>
      </c>
      <c r="G106" s="42">
        <f t="shared" si="8"/>
        <v>10351966.873706004</v>
      </c>
      <c r="H106" s="38">
        <v>4000</v>
      </c>
    </row>
    <row r="107" spans="2:8" ht="12.75">
      <c r="B107" s="37" t="s">
        <v>152</v>
      </c>
      <c r="C107" s="44" t="s">
        <v>153</v>
      </c>
      <c r="D107" s="45" t="s">
        <v>154</v>
      </c>
      <c r="E107" s="42">
        <f t="shared" si="6"/>
        <v>2.0649999999999997E-05</v>
      </c>
      <c r="F107" s="42">
        <f t="shared" si="7"/>
        <v>2.0649999999999998E-07</v>
      </c>
      <c r="G107" s="42">
        <f t="shared" si="8"/>
        <v>4842615.012106538</v>
      </c>
      <c r="H107" s="38">
        <v>1</v>
      </c>
    </row>
    <row r="108" spans="2:8" ht="12.75">
      <c r="B108" s="46" t="s">
        <v>155</v>
      </c>
      <c r="C108" s="44" t="s">
        <v>156</v>
      </c>
      <c r="D108" s="45" t="s">
        <v>157</v>
      </c>
      <c r="E108" s="42">
        <f t="shared" si="6"/>
        <v>4.2000000000000004E-06</v>
      </c>
      <c r="F108" s="42">
        <f t="shared" si="7"/>
        <v>4.2000000000000006E-08</v>
      </c>
      <c r="G108" s="42">
        <f t="shared" si="8"/>
        <v>23809523.809523806</v>
      </c>
      <c r="H108" s="38">
        <v>1</v>
      </c>
    </row>
    <row r="109" spans="2:8" ht="12.75">
      <c r="B109" s="37" t="s">
        <v>158</v>
      </c>
      <c r="C109" s="44" t="s">
        <v>159</v>
      </c>
      <c r="D109" s="45" t="s">
        <v>160</v>
      </c>
      <c r="E109" s="42">
        <f t="shared" si="6"/>
        <v>8.707000000000002E-06</v>
      </c>
      <c r="F109" s="42">
        <f t="shared" si="7"/>
        <v>8.707000000000001E-08</v>
      </c>
      <c r="G109" s="42">
        <f t="shared" si="8"/>
        <v>11485012.059262661</v>
      </c>
      <c r="H109" s="38">
        <v>150</v>
      </c>
    </row>
    <row r="110" spans="2:8" ht="12.75">
      <c r="B110" s="46" t="s">
        <v>161</v>
      </c>
      <c r="C110" s="44" t="s">
        <v>162</v>
      </c>
      <c r="D110" s="45" t="s">
        <v>163</v>
      </c>
      <c r="E110" s="42">
        <f t="shared" si="6"/>
        <v>0.00011</v>
      </c>
      <c r="F110" s="42">
        <f t="shared" si="7"/>
        <v>1.1E-06</v>
      </c>
      <c r="G110" s="42">
        <f t="shared" si="8"/>
        <v>909090.9090909091</v>
      </c>
      <c r="H110" s="38">
        <v>1</v>
      </c>
    </row>
    <row r="111" spans="2:8" ht="12.75">
      <c r="B111" s="37" t="s">
        <v>164</v>
      </c>
      <c r="C111" s="44" t="s">
        <v>165</v>
      </c>
      <c r="D111" s="45" t="s">
        <v>166</v>
      </c>
      <c r="E111" s="42">
        <f t="shared" si="6"/>
        <v>1.062E-05</v>
      </c>
      <c r="F111" s="42">
        <f t="shared" si="7"/>
        <v>1.062E-07</v>
      </c>
      <c r="G111" s="42">
        <f t="shared" si="8"/>
        <v>9416195.856873823</v>
      </c>
      <c r="H111" s="38">
        <v>1</v>
      </c>
    </row>
    <row r="112" spans="2:8" ht="12.75">
      <c r="B112" s="37" t="s">
        <v>167</v>
      </c>
      <c r="C112" s="44" t="s">
        <v>168</v>
      </c>
      <c r="D112" s="45" t="s">
        <v>166</v>
      </c>
      <c r="E112" s="42">
        <f t="shared" si="6"/>
        <v>1.062E-05</v>
      </c>
      <c r="F112" s="42">
        <f t="shared" si="7"/>
        <v>1.062E-07</v>
      </c>
      <c r="G112" s="42">
        <f t="shared" si="8"/>
        <v>9416195.856873823</v>
      </c>
      <c r="H112" s="38">
        <v>1</v>
      </c>
    </row>
    <row r="113" spans="2:8" ht="12.75">
      <c r="B113" s="37" t="s">
        <v>169</v>
      </c>
      <c r="C113" s="44" t="s">
        <v>170</v>
      </c>
      <c r="D113" s="45" t="s">
        <v>171</v>
      </c>
      <c r="E113" s="42">
        <f t="shared" si="6"/>
        <v>4.51E-06</v>
      </c>
      <c r="F113" s="42">
        <f t="shared" si="7"/>
        <v>4.51E-08</v>
      </c>
      <c r="G113" s="42">
        <f t="shared" si="8"/>
        <v>22172949.002217297</v>
      </c>
      <c r="H113" s="38">
        <v>1</v>
      </c>
    </row>
    <row r="114" spans="2:8" ht="12.75">
      <c r="B114" s="38" t="s">
        <v>172</v>
      </c>
      <c r="C114" s="44" t="s">
        <v>173</v>
      </c>
      <c r="D114" s="47">
        <v>2000000000</v>
      </c>
      <c r="E114" s="42">
        <f t="shared" si="6"/>
        <v>2000</v>
      </c>
      <c r="F114" s="42">
        <f t="shared" si="7"/>
        <v>20</v>
      </c>
      <c r="G114" s="42">
        <f t="shared" si="8"/>
        <v>0.05</v>
      </c>
      <c r="H114" s="38">
        <v>1</v>
      </c>
    </row>
    <row r="115" spans="2:8" ht="12.75">
      <c r="B115" s="38" t="s">
        <v>174</v>
      </c>
      <c r="C115" s="44" t="s">
        <v>173</v>
      </c>
      <c r="D115" s="47">
        <v>2000000</v>
      </c>
      <c r="E115" s="42">
        <f t="shared" si="6"/>
        <v>2</v>
      </c>
      <c r="F115" s="42">
        <f t="shared" si="7"/>
        <v>0.02</v>
      </c>
      <c r="G115" s="42">
        <f t="shared" si="8"/>
        <v>50</v>
      </c>
      <c r="H115" s="38">
        <v>1</v>
      </c>
    </row>
    <row r="116" spans="2:8" ht="12.75">
      <c r="B116" s="37" t="s">
        <v>175</v>
      </c>
      <c r="C116" s="44" t="s">
        <v>176</v>
      </c>
      <c r="D116" s="45" t="s">
        <v>177</v>
      </c>
      <c r="E116" s="42">
        <f t="shared" si="6"/>
        <v>1.5899999999999998E-06</v>
      </c>
      <c r="F116" s="42">
        <f t="shared" si="7"/>
        <v>1.5899999999999997E-08</v>
      </c>
      <c r="G116" s="42">
        <f t="shared" si="8"/>
        <v>62893081.7610063</v>
      </c>
      <c r="H116" s="38">
        <v>1</v>
      </c>
    </row>
    <row r="117" spans="2:9" ht="12.75">
      <c r="B117" s="37" t="s">
        <v>178</v>
      </c>
      <c r="C117" s="44" t="s">
        <v>179</v>
      </c>
      <c r="D117" s="45">
        <v>45</v>
      </c>
      <c r="E117" s="42">
        <f t="shared" si="6"/>
        <v>4.5E-05</v>
      </c>
      <c r="F117" s="42">
        <f t="shared" si="7"/>
        <v>4.5000000000000003E-07</v>
      </c>
      <c r="G117" s="42">
        <f t="shared" si="8"/>
        <v>2222222.222222222</v>
      </c>
      <c r="H117" s="38">
        <v>2</v>
      </c>
      <c r="I117" s="8"/>
    </row>
    <row r="118" spans="2:8" ht="12.75">
      <c r="B118" s="37" t="s">
        <v>180</v>
      </c>
      <c r="C118" s="44" t="s">
        <v>181</v>
      </c>
      <c r="D118" s="45" t="s">
        <v>145</v>
      </c>
      <c r="E118" s="42">
        <f t="shared" si="6"/>
        <v>1.552E-05</v>
      </c>
      <c r="F118" s="42">
        <f t="shared" si="7"/>
        <v>1.5520000000000001E-07</v>
      </c>
      <c r="G118" s="42">
        <f t="shared" si="8"/>
        <v>6443298.969072164</v>
      </c>
      <c r="H118" s="38">
        <v>1</v>
      </c>
    </row>
    <row r="119" spans="2:8" ht="12.75">
      <c r="B119" s="46" t="s">
        <v>182</v>
      </c>
      <c r="C119" s="44" t="s">
        <v>183</v>
      </c>
      <c r="D119" s="45" t="s">
        <v>184</v>
      </c>
      <c r="E119" s="42">
        <f t="shared" si="6"/>
        <v>0.000252</v>
      </c>
      <c r="F119" s="42">
        <f t="shared" si="7"/>
        <v>2.52E-06</v>
      </c>
      <c r="G119" s="42">
        <f t="shared" si="8"/>
        <v>396825.3968253968</v>
      </c>
      <c r="H119" s="38">
        <v>1</v>
      </c>
    </row>
    <row r="120" spans="2:8" ht="12.75">
      <c r="B120" s="37" t="s">
        <v>185</v>
      </c>
      <c r="C120" s="44" t="s">
        <v>186</v>
      </c>
      <c r="D120" s="45" t="s">
        <v>187</v>
      </c>
      <c r="E120" s="42">
        <f t="shared" si="6"/>
        <v>1.1550000000000001E-05</v>
      </c>
      <c r="F120" s="42">
        <f t="shared" si="7"/>
        <v>1.1550000000000001E-07</v>
      </c>
      <c r="G120" s="42">
        <f t="shared" si="8"/>
        <v>8658008.658008657</v>
      </c>
      <c r="H120" s="38">
        <v>1</v>
      </c>
    </row>
    <row r="121" spans="2:8" ht="12.75">
      <c r="B121" s="37" t="s">
        <v>188</v>
      </c>
      <c r="C121" s="44" t="s">
        <v>189</v>
      </c>
      <c r="D121" s="45" t="s">
        <v>190</v>
      </c>
      <c r="E121" s="42">
        <f t="shared" si="6"/>
        <v>5.5E-05</v>
      </c>
      <c r="F121" s="42">
        <f t="shared" si="7"/>
        <v>5.5E-07</v>
      </c>
      <c r="G121" s="42">
        <f t="shared" si="8"/>
        <v>1818181.8181818181</v>
      </c>
      <c r="H121" s="38">
        <v>1</v>
      </c>
    </row>
    <row r="122" spans="2:8" ht="12.75">
      <c r="B122" s="37" t="s">
        <v>191</v>
      </c>
      <c r="C122" s="44" t="s">
        <v>192</v>
      </c>
      <c r="D122" s="45" t="s">
        <v>193</v>
      </c>
      <c r="E122" s="42">
        <f t="shared" si="6"/>
        <v>5.6E-06</v>
      </c>
      <c r="F122" s="42">
        <f t="shared" si="7"/>
        <v>5.6E-08</v>
      </c>
      <c r="G122" s="42">
        <f t="shared" si="8"/>
        <v>17857142.85714286</v>
      </c>
      <c r="H122" s="38">
        <v>1</v>
      </c>
    </row>
    <row r="123" spans="2:8" ht="12.75">
      <c r="B123" s="37" t="s">
        <v>194</v>
      </c>
      <c r="C123" s="44" t="s">
        <v>195</v>
      </c>
      <c r="D123" s="45" t="s">
        <v>196</v>
      </c>
      <c r="E123" s="42">
        <f t="shared" si="6"/>
        <v>5.68E-06</v>
      </c>
      <c r="F123" s="42">
        <f t="shared" si="7"/>
        <v>5.68E-08</v>
      </c>
      <c r="G123" s="42">
        <f t="shared" si="8"/>
        <v>17605633.8028169</v>
      </c>
      <c r="H123" s="38">
        <v>1</v>
      </c>
    </row>
    <row r="124" spans="2:8" ht="12.75">
      <c r="B124" s="37" t="s">
        <v>197</v>
      </c>
      <c r="C124" s="44" t="s">
        <v>198</v>
      </c>
      <c r="D124" s="45" t="s">
        <v>199</v>
      </c>
      <c r="E124" s="42">
        <f t="shared" si="6"/>
        <v>4.1E-06</v>
      </c>
      <c r="F124" s="42">
        <f t="shared" si="7"/>
        <v>4.0999999999999997E-08</v>
      </c>
      <c r="G124" s="42">
        <f t="shared" si="8"/>
        <v>24390243.902439028</v>
      </c>
      <c r="H124" s="38">
        <v>1</v>
      </c>
    </row>
    <row r="128" ht="12.75">
      <c r="B128" t="s">
        <v>200</v>
      </c>
    </row>
    <row r="129" spans="3:6" ht="12.75">
      <c r="C129" t="s">
        <v>201</v>
      </c>
      <c r="D129" t="s">
        <v>202</v>
      </c>
      <c r="E129" t="s">
        <v>115</v>
      </c>
      <c r="F129" t="s">
        <v>203</v>
      </c>
    </row>
    <row r="130" ht="12.75">
      <c r="E130" t="s">
        <v>204</v>
      </c>
    </row>
    <row r="131" spans="2:5" ht="12.75">
      <c r="B131" s="39" t="s">
        <v>123</v>
      </c>
      <c r="C131" s="40">
        <v>1</v>
      </c>
      <c r="D131" s="48">
        <v>0</v>
      </c>
      <c r="E131" s="8">
        <v>10000000000000000</v>
      </c>
    </row>
    <row r="132" spans="2:5" ht="12.75">
      <c r="B132" s="39" t="s">
        <v>126</v>
      </c>
      <c r="C132" s="40">
        <v>1</v>
      </c>
      <c r="D132" s="48">
        <v>0</v>
      </c>
      <c r="E132" s="8">
        <v>10000000000000000</v>
      </c>
    </row>
    <row r="133" spans="2:5" ht="12.75">
      <c r="B133" s="39" t="s">
        <v>127</v>
      </c>
      <c r="C133" s="40">
        <v>1</v>
      </c>
      <c r="D133" s="48">
        <v>0</v>
      </c>
      <c r="E133" s="8">
        <v>10000000000000000</v>
      </c>
    </row>
    <row r="134" spans="2:5" ht="12.75">
      <c r="B134" t="s">
        <v>205</v>
      </c>
      <c r="C134">
        <v>1</v>
      </c>
      <c r="D134">
        <v>0</v>
      </c>
      <c r="E134" s="8">
        <v>10000000000000000</v>
      </c>
    </row>
    <row r="135" spans="2:5" ht="12.75">
      <c r="B135" t="s">
        <v>206</v>
      </c>
      <c r="C135">
        <v>9.6</v>
      </c>
      <c r="D135">
        <v>0.0001</v>
      </c>
      <c r="E135" s="8">
        <v>10000000000000000</v>
      </c>
    </row>
    <row r="136" spans="2:5" ht="12.75">
      <c r="B136" s="49" t="s">
        <v>12</v>
      </c>
      <c r="C136" s="50">
        <v>1.43</v>
      </c>
      <c r="D136" s="51">
        <v>0.00015</v>
      </c>
      <c r="E136" s="8">
        <v>10000000000000000</v>
      </c>
    </row>
    <row r="137" spans="2:6" ht="12.75">
      <c r="B137" s="49" t="s">
        <v>207</v>
      </c>
      <c r="C137" s="50">
        <v>3.75</v>
      </c>
      <c r="D137" s="51">
        <v>0.0004</v>
      </c>
      <c r="E137" s="8">
        <v>1E+18</v>
      </c>
      <c r="F137" t="s">
        <v>208</v>
      </c>
    </row>
    <row r="138" spans="2:5" ht="12.75">
      <c r="B138" s="49" t="s">
        <v>209</v>
      </c>
      <c r="C138" s="50">
        <v>3.3</v>
      </c>
      <c r="D138" s="51">
        <v>0.003</v>
      </c>
      <c r="E138" s="8">
        <v>10000000000000000</v>
      </c>
    </row>
    <row r="139" spans="2:6" ht="12.75">
      <c r="B139" t="s">
        <v>210</v>
      </c>
      <c r="C139">
        <v>5</v>
      </c>
      <c r="D139">
        <v>0.001</v>
      </c>
      <c r="E139" s="8">
        <v>10000000000000000</v>
      </c>
      <c r="F139" t="s">
        <v>211</v>
      </c>
    </row>
    <row r="140" spans="2:5" ht="12.75">
      <c r="B140" t="s">
        <v>212</v>
      </c>
      <c r="C140">
        <v>5.4</v>
      </c>
      <c r="D140">
        <v>0.0003</v>
      </c>
      <c r="E140" s="8">
        <v>10000000000000000</v>
      </c>
    </row>
    <row r="141" spans="2:5" ht="12.75">
      <c r="B141" t="s">
        <v>213</v>
      </c>
      <c r="C141">
        <v>2.55</v>
      </c>
      <c r="D141">
        <v>0.0003</v>
      </c>
      <c r="E141" s="8">
        <v>10000000000000000</v>
      </c>
    </row>
    <row r="142" spans="2:5" ht="12.75">
      <c r="B142" t="s">
        <v>214</v>
      </c>
      <c r="C142">
        <v>2.1</v>
      </c>
      <c r="D142">
        <v>0.0003</v>
      </c>
      <c r="E142" s="8">
        <v>1E+18</v>
      </c>
    </row>
    <row r="143" spans="2:5" ht="12.75">
      <c r="B143" t="s">
        <v>215</v>
      </c>
      <c r="C143">
        <v>3.8</v>
      </c>
      <c r="D143">
        <v>6E-05</v>
      </c>
      <c r="E143" s="8">
        <v>10000000000000000</v>
      </c>
    </row>
    <row r="144" spans="2:5" ht="12.75">
      <c r="B144" t="s">
        <v>216</v>
      </c>
      <c r="C144">
        <v>2.54</v>
      </c>
      <c r="D144">
        <v>0.0005</v>
      </c>
      <c r="E144" s="8">
        <v>10000000000000000</v>
      </c>
    </row>
    <row r="145" spans="2:5" ht="12.75">
      <c r="B145" t="s">
        <v>172</v>
      </c>
      <c r="C145">
        <v>11.7</v>
      </c>
      <c r="D145">
        <v>0.00015</v>
      </c>
      <c r="E145" s="8">
        <v>20</v>
      </c>
    </row>
    <row r="146" spans="2:5" ht="12.75">
      <c r="B146" t="s">
        <v>217</v>
      </c>
      <c r="C146">
        <v>4.5</v>
      </c>
      <c r="D146">
        <v>0.005</v>
      </c>
      <c r="E146" s="8">
        <v>10000000000000000</v>
      </c>
    </row>
    <row r="147" spans="2:5" ht="12.75">
      <c r="B147" t="s">
        <v>218</v>
      </c>
      <c r="C147">
        <v>1.03</v>
      </c>
      <c r="D147">
        <v>0.0001</v>
      </c>
      <c r="E147" s="8">
        <v>10000000000000000</v>
      </c>
    </row>
    <row r="148" spans="2:5" ht="12.75">
      <c r="B148" t="s">
        <v>219</v>
      </c>
      <c r="C148">
        <v>2.02</v>
      </c>
      <c r="D148">
        <v>0.00015</v>
      </c>
      <c r="E148" s="8">
        <v>10000000000000000</v>
      </c>
    </row>
    <row r="149" ht="12.75">
      <c r="E149" s="8"/>
    </row>
    <row r="150" ht="12.75">
      <c r="E150" s="8"/>
    </row>
    <row r="151" ht="12.75">
      <c r="E151" s="8"/>
    </row>
  </sheetData>
  <sheetProtection selectLockedCells="1" selectUnlockedCells="1"/>
  <dataValidations count="4">
    <dataValidation type="list" allowBlank="1" showErrorMessage="1" sqref="E4 D22">
      <formula1>'Enter data'!$J$93:$J$94</formula1>
      <formula2>0</formula2>
    </dataValidation>
    <dataValidation type="list" allowBlank="1" showErrorMessage="1" sqref="C20">
      <formula1>'Enter data'!$J$94:$J$95</formula1>
      <formula2>0</formula2>
    </dataValidation>
    <dataValidation type="list" allowBlank="1" showErrorMessage="1" sqref="E8">
      <formula1>'Enter data'!$B$131:$B$148</formula1>
      <formula2>0</formula2>
    </dataValidation>
    <dataValidation type="list" allowBlank="1" showErrorMessage="1" sqref="C8:D8">
      <formula1>'Enter data'!$B$94:$B$124</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drawing r:id="rId3"/>
  <legacyDrawing r:id="rId2"/>
</worksheet>
</file>

<file path=xl/worksheets/sheet3.xml><?xml version="1.0" encoding="utf-8"?>
<worksheet xmlns="http://schemas.openxmlformats.org/spreadsheetml/2006/main" xmlns:r="http://schemas.openxmlformats.org/officeDocument/2006/relationships">
  <dimension ref="B1:AI161"/>
  <sheetViews>
    <sheetView workbookViewId="0" topLeftCell="K8">
      <selection activeCell="AI15" sqref="AI15"/>
    </sheetView>
  </sheetViews>
  <sheetFormatPr defaultColWidth="9.140625" defaultRowHeight="12.75"/>
  <cols>
    <col min="1" max="1" width="14.140625" style="0" customWidth="1"/>
    <col min="2" max="2" width="12.00390625" style="0" customWidth="1"/>
    <col min="7" max="7" width="10.8515625" style="0" customWidth="1"/>
    <col min="8" max="8" width="12.421875" style="0" customWidth="1"/>
    <col min="17" max="20" width="9.140625" style="52" customWidth="1"/>
    <col min="27" max="28" width="9.140625" style="52" customWidth="1"/>
    <col min="29" max="29" width="9.140625" style="34" customWidth="1"/>
    <col min="31" max="31" width="9.140625" style="52" customWidth="1"/>
  </cols>
  <sheetData>
    <row r="1" ht="12.75">
      <c r="B1" t="s">
        <v>29</v>
      </c>
    </row>
    <row r="2" spans="2:4" ht="12.75">
      <c r="B2" t="s">
        <v>220</v>
      </c>
      <c r="C2" s="53">
        <f>'Enter data'!C37</f>
        <v>0.00051181</v>
      </c>
      <c r="D2" t="s">
        <v>34</v>
      </c>
    </row>
    <row r="3" spans="2:4" ht="12.75">
      <c r="B3" t="s">
        <v>221</v>
      </c>
      <c r="C3" s="53">
        <f>'Enter data'!C38</f>
        <v>0.002286</v>
      </c>
      <c r="D3" t="s">
        <v>34</v>
      </c>
    </row>
    <row r="4" spans="2:4" ht="12.75">
      <c r="B4" t="s">
        <v>222</v>
      </c>
      <c r="C4" s="53">
        <f>'Enter data'!C39</f>
        <v>0.0023368</v>
      </c>
      <c r="D4" t="s">
        <v>34</v>
      </c>
    </row>
    <row r="5" spans="2:9" ht="12.75">
      <c r="B5" t="s">
        <v>223</v>
      </c>
      <c r="C5" s="8">
        <f>'Enter data'!C10</f>
        <v>2.65E-08</v>
      </c>
      <c r="D5" t="s">
        <v>120</v>
      </c>
      <c r="G5" t="s">
        <v>224</v>
      </c>
      <c r="H5" s="36">
        <f>'Enter data'!C13*0.0000004*PI()</f>
        <v>1.2566370614359173E-06</v>
      </c>
      <c r="I5" t="s">
        <v>225</v>
      </c>
    </row>
    <row r="6" spans="2:9" ht="12.75">
      <c r="B6" t="s">
        <v>226</v>
      </c>
      <c r="C6" s="8">
        <f>'Enter data'!D10</f>
        <v>1.673E-08</v>
      </c>
      <c r="D6" t="s">
        <v>120</v>
      </c>
      <c r="G6" t="s">
        <v>227</v>
      </c>
      <c r="H6" s="36">
        <f>'Enter data'!D13*0.0000004*PI()</f>
        <v>1.2566370614359173E-06</v>
      </c>
      <c r="I6" t="s">
        <v>225</v>
      </c>
    </row>
    <row r="7" ht="12.75">
      <c r="C7" s="8"/>
    </row>
    <row r="8" ht="12.75">
      <c r="C8" s="8"/>
    </row>
    <row r="9" spans="7:15" ht="12.75">
      <c r="G9" s="54" t="s">
        <v>228</v>
      </c>
      <c r="M9" t="s">
        <v>229</v>
      </c>
      <c r="O9" t="s">
        <v>230</v>
      </c>
    </row>
    <row r="10" spans="7:34" s="55" customFormat="1" ht="12.75">
      <c r="G10" s="55" t="s">
        <v>231</v>
      </c>
      <c r="H10" s="55" t="s">
        <v>232</v>
      </c>
      <c r="M10" s="55" t="s">
        <v>233</v>
      </c>
      <c r="N10" s="55" t="s">
        <v>234</v>
      </c>
      <c r="O10" s="55" t="s">
        <v>233</v>
      </c>
      <c r="P10" s="55" t="s">
        <v>234</v>
      </c>
      <c r="Q10" s="56" t="s">
        <v>233</v>
      </c>
      <c r="R10" s="56" t="s">
        <v>234</v>
      </c>
      <c r="S10" s="56" t="s">
        <v>233</v>
      </c>
      <c r="T10" s="56" t="s">
        <v>234</v>
      </c>
      <c r="U10" s="55" t="s">
        <v>235</v>
      </c>
      <c r="Z10" s="54" t="s">
        <v>236</v>
      </c>
      <c r="AA10" s="56"/>
      <c r="AB10" s="56"/>
      <c r="AC10" s="57"/>
      <c r="AD10" s="54" t="s">
        <v>237</v>
      </c>
      <c r="AE10" s="56"/>
      <c r="AH10" s="55" t="s">
        <v>238</v>
      </c>
    </row>
    <row r="11" spans="4:34" ht="38.25">
      <c r="D11" t="s">
        <v>239</v>
      </c>
      <c r="E11" t="s">
        <v>239</v>
      </c>
      <c r="G11" t="s">
        <v>240</v>
      </c>
      <c r="H11" t="s">
        <v>240</v>
      </c>
      <c r="I11" s="55" t="s">
        <v>241</v>
      </c>
      <c r="J11" s="55" t="s">
        <v>242</v>
      </c>
      <c r="K11" t="s">
        <v>243</v>
      </c>
      <c r="O11" t="s">
        <v>244</v>
      </c>
      <c r="P11" t="s">
        <v>244</v>
      </c>
      <c r="Q11" s="52" t="s">
        <v>245</v>
      </c>
      <c r="R11" s="52" t="s">
        <v>245</v>
      </c>
      <c r="S11" s="52" t="s">
        <v>245</v>
      </c>
      <c r="T11" s="52" t="s">
        <v>245</v>
      </c>
      <c r="Z11" t="s">
        <v>246</v>
      </c>
      <c r="AA11" s="52" t="s">
        <v>247</v>
      </c>
      <c r="AB11" s="52" t="s">
        <v>247</v>
      </c>
      <c r="AD11" t="s">
        <v>246</v>
      </c>
      <c r="AE11" s="52" t="s">
        <v>248</v>
      </c>
      <c r="AH11" s="52" t="s">
        <v>248</v>
      </c>
    </row>
    <row r="12" spans="4:35" ht="12.75">
      <c r="D12" t="s">
        <v>76</v>
      </c>
      <c r="E12" t="s">
        <v>72</v>
      </c>
      <c r="G12" t="s">
        <v>34</v>
      </c>
      <c r="H12" t="s">
        <v>34</v>
      </c>
      <c r="I12" t="s">
        <v>42</v>
      </c>
      <c r="J12" t="s">
        <v>42</v>
      </c>
      <c r="K12" t="s">
        <v>249</v>
      </c>
      <c r="O12" t="s">
        <v>81</v>
      </c>
      <c r="P12" t="s">
        <v>81</v>
      </c>
      <c r="Q12" s="52" t="s">
        <v>87</v>
      </c>
      <c r="R12" s="52" t="s">
        <v>87</v>
      </c>
      <c r="S12" s="52" t="s">
        <v>67</v>
      </c>
      <c r="T12" s="52" t="s">
        <v>67</v>
      </c>
      <c r="U12" t="s">
        <v>81</v>
      </c>
      <c r="V12" t="s">
        <v>250</v>
      </c>
      <c r="W12" t="s">
        <v>87</v>
      </c>
      <c r="Z12" t="s">
        <v>251</v>
      </c>
      <c r="AA12" s="52" t="s">
        <v>87</v>
      </c>
      <c r="AB12" s="52" t="s">
        <v>67</v>
      </c>
      <c r="AD12" t="s">
        <v>121</v>
      </c>
      <c r="AE12" s="52" t="s">
        <v>87</v>
      </c>
      <c r="AF12" t="s">
        <v>67</v>
      </c>
      <c r="AH12" s="52" t="s">
        <v>87</v>
      </c>
      <c r="AI12" t="s">
        <v>67</v>
      </c>
    </row>
    <row r="13" spans="4:35" ht="12.75">
      <c r="D13">
        <v>0</v>
      </c>
      <c r="E13" s="36">
        <f>D13/1000000000</f>
        <v>0</v>
      </c>
      <c r="G13" t="s">
        <v>252</v>
      </c>
      <c r="H13" t="s">
        <v>252</v>
      </c>
      <c r="I13" s="8">
        <f>'Enter data'!C34</f>
        <v>7.377660895659567E-07</v>
      </c>
      <c r="J13" s="8">
        <f>'Enter data'!D34</f>
        <v>8.229385497274551E-07</v>
      </c>
      <c r="K13" t="s">
        <v>252</v>
      </c>
      <c r="M13">
        <v>1</v>
      </c>
      <c r="N13">
        <v>1</v>
      </c>
      <c r="O13" s="8">
        <f>C$5/I13*M13^2</f>
        <v>0.035919243747825964</v>
      </c>
      <c r="P13" s="8">
        <f>C$6/J13*N13^2</f>
        <v>0.02032958597642646</v>
      </c>
      <c r="Q13" s="58">
        <f>8.686*O13/2/'Enter data'!C$45</f>
        <v>0.0020774303849165825</v>
      </c>
      <c r="R13" s="58">
        <f>8.686*P13/2/'Enter data'!C$45</f>
        <v>0.0011757847664250608</v>
      </c>
      <c r="S13" s="58">
        <f>Q13/3.2808</f>
        <v>0.0006332084811377049</v>
      </c>
      <c r="T13" s="58">
        <f>R13/3.2808</f>
        <v>0.0003583835547503843</v>
      </c>
      <c r="U13" s="36">
        <f aca="true" t="shared" si="0" ref="U13:U44">O13+P13</f>
        <v>0.05624882972425242</v>
      </c>
      <c r="V13" s="36">
        <f>U13/(2*'Enter data'!$C$45)</f>
        <v>0.0003745354767835187</v>
      </c>
      <c r="W13" s="36">
        <f aca="true" t="shared" si="1" ref="W13:W45">V13*8.68588</f>
        <v>0.003253170207084429</v>
      </c>
      <c r="Z13">
        <v>0</v>
      </c>
      <c r="AA13" s="52">
        <v>0</v>
      </c>
      <c r="AB13" s="52">
        <v>0</v>
      </c>
      <c r="AD13" s="36">
        <f>2*PI()/'Enter data'!$E$10/LN($C$3/$C$2)</f>
        <v>4.19829126836701E-16</v>
      </c>
      <c r="AE13" s="52">
        <f>8.686*AD13*'Enter data'!$C$45/2</f>
        <v>1.3691559855720513E-13</v>
      </c>
      <c r="AF13" s="58">
        <f>AE13/3.2808</f>
        <v>4.17323819060001E-14</v>
      </c>
      <c r="AH13" s="8">
        <f aca="true" t="shared" si="2" ref="AH13:AH44">Q13+R13+AA13+AE13</f>
        <v>0.003253215151478559</v>
      </c>
      <c r="AI13" s="58">
        <f>AH13/3.2808</f>
        <v>0.0009915920359298217</v>
      </c>
    </row>
    <row r="14" spans="4:35" ht="12.75">
      <c r="D14">
        <v>1</v>
      </c>
      <c r="E14" s="36">
        <f aca="true" t="shared" si="3" ref="E14:E77">D14/1000000000</f>
        <v>1E-09</v>
      </c>
      <c r="G14" s="8">
        <f>(C$5/(PI()*D14*H$5))^0.5</f>
        <v>0.08193002145919942</v>
      </c>
      <c r="H14" s="8">
        <f>(C$6/(PI()*D14*H$6))^0.5</f>
        <v>0.06509806837257753</v>
      </c>
      <c r="I14" s="8">
        <f>2*PI()*G14*(C$3+G14-(C$4+G14)*EXP((C$3-C$4)/G14))</f>
        <v>7.37536576542569E-07</v>
      </c>
      <c r="J14" s="8">
        <f>2*PI()*H14*(C$2+H14*(EXP(-C$2/H14)-1))</f>
        <v>8.20786096615448E-07</v>
      </c>
      <c r="K14" s="8">
        <f>'Enter data'!$C$83/D14</f>
        <v>299792458</v>
      </c>
      <c r="L14" s="8"/>
      <c r="M14" s="8">
        <f>1+(2.7182818^(-G14/2/'Enter data'!C$31))^1.6</f>
        <v>1</v>
      </c>
      <c r="N14" s="8">
        <f>1+(2.7182818^(-H14/2/'Enter data'!D$31))^1.6</f>
        <v>1</v>
      </c>
      <c r="O14" s="8">
        <f aca="true" t="shared" si="4" ref="O14:O77">C$5/I14*M14^2</f>
        <v>0.03593042140937193</v>
      </c>
      <c r="P14" s="8">
        <f aca="true" t="shared" si="5" ref="P14:P77">C$6/J14*N14^2</f>
        <v>0.020382898868520048</v>
      </c>
      <c r="Q14" s="58">
        <f>8.686*O14/2/'Enter data'!C$45</f>
        <v>0.002078076857706793</v>
      </c>
      <c r="R14" s="58">
        <f>8.686*P14/2/'Enter data'!C$45</f>
        <v>0.0011788681782786221</v>
      </c>
      <c r="S14" s="58">
        <f aca="true" t="shared" si="6" ref="S14:S77">Q14/3.2808</f>
        <v>0.0006334055284402564</v>
      </c>
      <c r="T14" s="58">
        <f aca="true" t="shared" si="7" ref="T14:T77">R14/3.2808</f>
        <v>0.00035932339011174774</v>
      </c>
      <c r="U14" s="36">
        <f t="shared" si="0"/>
        <v>0.05631332027789197</v>
      </c>
      <c r="V14" s="36">
        <f>U14/(2*'Enter data'!$C$45)</f>
        <v>0.0003749648901664074</v>
      </c>
      <c r="W14" s="36">
        <f t="shared" si="1"/>
        <v>0.0032569000401985945</v>
      </c>
      <c r="Y14" s="8"/>
      <c r="Z14" s="8">
        <f>4*PI()^2*D14*'Enter data'!$C$82*'Enter data'!$E$14*'Enter data'!$E$15/LN('Enter data'!$C$44)</f>
        <v>5.009893120017558E-14</v>
      </c>
      <c r="AA14" s="58">
        <f>27.28753*'Enter data'!$E$14^0.5*'Enter data'!$E$15*D14/'Enter data'!$C$83</f>
        <v>1.632686497279403E-11</v>
      </c>
      <c r="AB14" s="58">
        <f>AA14/3.2808</f>
        <v>4.976488957813347E-12</v>
      </c>
      <c r="AC14" s="8"/>
      <c r="AD14" s="36">
        <f>2*PI()/'Enter data'!$E$10/LN($C$3/$C$2)</f>
        <v>4.19829126836701E-16</v>
      </c>
      <c r="AE14" s="52">
        <f>8.686*AD14*'Enter data'!$C$45/2</f>
        <v>1.3691559855720513E-13</v>
      </c>
      <c r="AF14" s="58">
        <f aca="true" t="shared" si="8" ref="AF14:AF77">AE14/3.2808</f>
        <v>4.17323819060001E-14</v>
      </c>
      <c r="AH14" s="8">
        <f t="shared" si="2"/>
        <v>0.0032569450524491954</v>
      </c>
      <c r="AI14" s="58">
        <f aca="true" t="shared" si="9" ref="AI14:AI77">AH14/3.2808</f>
        <v>0.0009927289235702253</v>
      </c>
    </row>
    <row r="15" spans="4:35" ht="12.75">
      <c r="D15" s="8">
        <f>D14*'Enter data'!$C$74</f>
        <v>1.18334997929274</v>
      </c>
      <c r="E15" s="36">
        <f t="shared" si="3"/>
        <v>1.18334997929274E-09</v>
      </c>
      <c r="G15" s="8">
        <f aca="true" t="shared" si="10" ref="G15:G78">(C$5/(PI()*D15*H$5))^0.5</f>
        <v>0.07531586439942875</v>
      </c>
      <c r="H15" s="8">
        <f aca="true" t="shared" si="11" ref="H15:H78">(C$6/(PI()*D15*H$6))^0.5</f>
        <v>0.059842743879365494</v>
      </c>
      <c r="I15" s="8">
        <f aca="true" t="shared" si="12" ref="I15:I78">2*PI()*G15*(C$3+G15-(C$4+G15)*EXP((C$3-C$4)/G15))</f>
        <v>7.375164254960388E-07</v>
      </c>
      <c r="J15" s="8">
        <f aca="true" t="shared" si="13" ref="J15:J78">2*PI()*H15*(C$2+H15*(EXP(-C$2/H15)-1))</f>
        <v>8.205974741650526E-07</v>
      </c>
      <c r="K15" s="8">
        <f>'Enter data'!$C$83/D15</f>
        <v>253342175.3885345</v>
      </c>
      <c r="L15" s="8"/>
      <c r="M15" s="8">
        <f>1+(2.7182818^(-G15/2/'Enter data'!C$31))^1.6</f>
        <v>1</v>
      </c>
      <c r="N15" s="8">
        <f>1+(2.7182818^(-H15/2/'Enter data'!D$31))^1.6</f>
        <v>1</v>
      </c>
      <c r="O15" s="8">
        <f t="shared" si="4"/>
        <v>0.035931403130685026</v>
      </c>
      <c r="P15" s="8">
        <f t="shared" si="5"/>
        <v>0.02038758407954224</v>
      </c>
      <c r="Q15" s="58">
        <f>8.686*O15/2/'Enter data'!C$45</f>
        <v>0.00207813363667741</v>
      </c>
      <c r="R15" s="58">
        <f>8.686*P15/2/'Enter data'!C$45</f>
        <v>0.0011791391527959472</v>
      </c>
      <c r="S15" s="58">
        <f t="shared" si="6"/>
        <v>0.0006334228348809466</v>
      </c>
      <c r="T15" s="58">
        <f t="shared" si="7"/>
        <v>0.00035940598414897193</v>
      </c>
      <c r="U15" s="36">
        <f t="shared" si="0"/>
        <v>0.05631898721022727</v>
      </c>
      <c r="V15" s="36">
        <f>U15/(2*'Enter data'!$C$45)</f>
        <v>0.000375002623701745</v>
      </c>
      <c r="W15" s="36">
        <f t="shared" si="1"/>
        <v>0.0032572277891585125</v>
      </c>
      <c r="Y15" s="8"/>
      <c r="Z15" s="8">
        <f>4*PI()^2*D15*'Enter data'!$C$82*'Enter data'!$E$14*'Enter data'!$E$15/LN('Enter data'!$C$44)</f>
        <v>5.928456919831618E-14</v>
      </c>
      <c r="AA15" s="58">
        <f>27.28753*'Enter data'!$E$14^0.5*'Enter data'!$E$15*D15/'Enter data'!$C$83</f>
        <v>1.9320395327471175E-11</v>
      </c>
      <c r="AB15" s="58">
        <f aca="true" t="shared" si="14" ref="AB15:AB78">AA15/3.2808</f>
        <v>5.888928105178973E-12</v>
      </c>
      <c r="AC15" s="8"/>
      <c r="AD15" s="36">
        <f>2*PI()/'Enter data'!$E$10/LN($C$3/$C$2)</f>
        <v>4.19829126836701E-16</v>
      </c>
      <c r="AE15" s="52">
        <f>8.686*AD15*'Enter data'!$C$45/2</f>
        <v>1.3691559855720513E-13</v>
      </c>
      <c r="AF15" s="58">
        <f t="shared" si="8"/>
        <v>4.17323819060001E-14</v>
      </c>
      <c r="AH15" s="8">
        <f t="shared" si="2"/>
        <v>0.003257272808930668</v>
      </c>
      <c r="AI15" s="58">
        <f t="shared" si="9"/>
        <v>0.000992828824960579</v>
      </c>
    </row>
    <row r="16" spans="4:35" ht="12.75">
      <c r="D16" s="8">
        <f>D15*'Enter data'!$C$74</f>
        <v>1.4003171734921283</v>
      </c>
      <c r="E16" s="36">
        <f t="shared" si="3"/>
        <v>1.4003171734921282E-09</v>
      </c>
      <c r="G16" s="8">
        <f t="shared" si="10"/>
        <v>0.06923566391420992</v>
      </c>
      <c r="H16" s="8">
        <f t="shared" si="11"/>
        <v>0.05501167829612426</v>
      </c>
      <c r="I16" s="8">
        <f t="shared" si="12"/>
        <v>7.374945056457797E-07</v>
      </c>
      <c r="J16" s="8">
        <f t="shared" si="13"/>
        <v>8.203923609660926E-07</v>
      </c>
      <c r="K16" s="8">
        <f>'Enter data'!$C$83/D16</f>
        <v>214088967.6103692</v>
      </c>
      <c r="L16" s="8"/>
      <c r="M16" s="8">
        <f>1+(2.7182818^(-G16/2/'Enter data'!C$31))^1.6</f>
        <v>1</v>
      </c>
      <c r="N16" s="8">
        <f>1+(2.7182818^(-H16/2/'Enter data'!D$31))^1.6</f>
        <v>1</v>
      </c>
      <c r="O16" s="8">
        <f t="shared" si="4"/>
        <v>0.03593247108572767</v>
      </c>
      <c r="P16" s="8">
        <f t="shared" si="5"/>
        <v>0.02039268135102914</v>
      </c>
      <c r="Q16" s="58">
        <f>8.686*O16/2/'Enter data'!C$45</f>
        <v>0.0020781954030740218</v>
      </c>
      <c r="R16" s="58">
        <f>8.686*P16/2/'Enter data'!C$45</f>
        <v>0.0011794339592997086</v>
      </c>
      <c r="S16" s="58">
        <f t="shared" si="6"/>
        <v>0.0006334416615075657</v>
      </c>
      <c r="T16" s="58">
        <f t="shared" si="7"/>
        <v>0.0003594958422639931</v>
      </c>
      <c r="U16" s="36">
        <f t="shared" si="0"/>
        <v>0.05632515243675681</v>
      </c>
      <c r="V16" s="36">
        <f>U16/(2*'Enter data'!$C$45)</f>
        <v>0.0003750436751523981</v>
      </c>
      <c r="W16" s="36">
        <f t="shared" si="1"/>
        <v>0.0032575843571327114</v>
      </c>
      <c r="Y16" s="8"/>
      <c r="Z16" s="8">
        <f>4*PI()^2*D16*'Enter data'!$C$82*'Enter data'!$E$14*'Enter data'!$E$15/LN('Enter data'!$C$44)</f>
        <v>7.015439373320646E-14</v>
      </c>
      <c r="AA16" s="58">
        <f>27.28753*'Enter data'!$E$14^0.5*'Enter data'!$E$15*D16/'Enter data'!$C$83</f>
        <v>2.2862789410690566E-11</v>
      </c>
      <c r="AB16" s="58">
        <f t="shared" si="14"/>
        <v>6.968662951319973E-12</v>
      </c>
      <c r="AC16" s="8"/>
      <c r="AD16" s="36">
        <f>2*PI()/'Enter data'!$E$10/LN($C$3/$C$2)</f>
        <v>4.19829126836701E-16</v>
      </c>
      <c r="AE16" s="52">
        <f>8.686*AD16*'Enter data'!$C$45/2</f>
        <v>1.3691559855720513E-13</v>
      </c>
      <c r="AF16" s="58">
        <f t="shared" si="8"/>
        <v>4.17323819060001E-14</v>
      </c>
      <c r="AH16" s="8">
        <f t="shared" si="2"/>
        <v>0.0032576293853734356</v>
      </c>
      <c r="AI16" s="58">
        <f t="shared" si="9"/>
        <v>0.0009929375107819542</v>
      </c>
    </row>
    <row r="17" spans="4:35" ht="12.75">
      <c r="D17" s="8">
        <f>D16*'Enter data'!$C$74</f>
        <v>1.6570652982551781</v>
      </c>
      <c r="E17" s="36">
        <f t="shared" si="3"/>
        <v>1.6570652982551782E-09</v>
      </c>
      <c r="G17" s="8">
        <f t="shared" si="10"/>
        <v>0.0636463140384244</v>
      </c>
      <c r="H17" s="8">
        <f t="shared" si="11"/>
        <v>0.050570621478467484</v>
      </c>
      <c r="I17" s="8">
        <f t="shared" si="12"/>
        <v>7.374706617912217E-07</v>
      </c>
      <c r="J17" s="8">
        <f t="shared" si="13"/>
        <v>8.201693223199594E-07</v>
      </c>
      <c r="K17" s="8">
        <f>'Enter data'!$C$83/D17</f>
        <v>180917709.3477663</v>
      </c>
      <c r="L17" s="8"/>
      <c r="M17" s="8">
        <f>1+(2.7182818^(-G17/2/'Enter data'!C$31))^1.6</f>
        <v>1</v>
      </c>
      <c r="N17" s="8">
        <f>1+(2.7182818^(-H17/2/'Enter data'!D$31))^1.6</f>
        <v>1</v>
      </c>
      <c r="O17" s="8">
        <f t="shared" si="4"/>
        <v>0.035933632852098676</v>
      </c>
      <c r="P17" s="8">
        <f t="shared" si="5"/>
        <v>0.020398226981566372</v>
      </c>
      <c r="Q17" s="58">
        <f>8.686*O17/2/'Enter data'!C$45</f>
        <v>0.002078262595155688</v>
      </c>
      <c r="R17" s="58">
        <f>8.686*P17/2/'Enter data'!C$45</f>
        <v>0.0011797546971599611</v>
      </c>
      <c r="S17" s="58">
        <f t="shared" si="6"/>
        <v>0.0006334621419030993</v>
      </c>
      <c r="T17" s="58">
        <f t="shared" si="7"/>
        <v>0.0003595936043525851</v>
      </c>
      <c r="U17" s="36">
        <f t="shared" si="0"/>
        <v>0.05633185983366505</v>
      </c>
      <c r="V17" s="36">
        <f>U17/(2*'Enter data'!$C$45)</f>
        <v>0.0003750883366700034</v>
      </c>
      <c r="W17" s="36">
        <f t="shared" si="1"/>
        <v>0.003257972281715249</v>
      </c>
      <c r="Y17" s="8"/>
      <c r="Z17" s="8">
        <f>4*PI()^2*D17*'Enter data'!$C$82*'Enter data'!$E$14*'Enter data'!$E$15/LN('Enter data'!$C$44)</f>
        <v>8.301720037148459E-14</v>
      </c>
      <c r="AA17" s="58">
        <f>27.28753*'Enter data'!$E$14^0.5*'Enter data'!$E$15*D17/'Enter data'!$C$83</f>
        <v>2.705468137571496E-11</v>
      </c>
      <c r="AB17" s="58">
        <f t="shared" si="14"/>
        <v>8.246367159142574E-12</v>
      </c>
      <c r="AC17" s="8"/>
      <c r="AD17" s="36">
        <f>2*PI()/'Enter data'!$E$10/LN($C$3/$C$2)</f>
        <v>4.19829126836701E-16</v>
      </c>
      <c r="AE17" s="52">
        <f>8.686*AD17*'Enter data'!$C$45/2</f>
        <v>1.3691559855720513E-13</v>
      </c>
      <c r="AF17" s="58">
        <f t="shared" si="8"/>
        <v>4.17323819060001E-14</v>
      </c>
      <c r="AH17" s="8">
        <f t="shared" si="2"/>
        <v>0.0032580173195072464</v>
      </c>
      <c r="AI17" s="58">
        <f t="shared" si="9"/>
        <v>0.0009930557545437839</v>
      </c>
    </row>
    <row r="18" spans="4:35" ht="12.75">
      <c r="D18" s="8">
        <f>D17*'Enter data'!$C$74</f>
        <v>1.9608881863769831</v>
      </c>
      <c r="E18" s="36">
        <f t="shared" si="3"/>
        <v>1.960888186376983E-09</v>
      </c>
      <c r="G18" s="8">
        <f t="shared" si="10"/>
        <v>0.058508188723331384</v>
      </c>
      <c r="H18" s="8">
        <f t="shared" si="11"/>
        <v>0.046488088273769546</v>
      </c>
      <c r="I18" s="8">
        <f t="shared" si="12"/>
        <v>7.374447251732063E-07</v>
      </c>
      <c r="J18" s="8">
        <f t="shared" si="13"/>
        <v>8.199268000067328E-07</v>
      </c>
      <c r="K18" s="8">
        <f>'Enter data'!$C$83/D18</f>
        <v>152886054.43327636</v>
      </c>
      <c r="L18" s="8"/>
      <c r="M18" s="8">
        <f>1+(2.7182818^(-G18/2/'Enter data'!C$31))^1.6</f>
        <v>1</v>
      </c>
      <c r="N18" s="8">
        <f>1+(2.7182818^(-H18/2/'Enter data'!D$31))^1.6</f>
        <v>1</v>
      </c>
      <c r="O18" s="8">
        <f t="shared" si="4"/>
        <v>0.0359348966714432</v>
      </c>
      <c r="P18" s="8">
        <f t="shared" si="5"/>
        <v>0.020404260477719014</v>
      </c>
      <c r="Q18" s="58">
        <f>8.686*O18/2/'Enter data'!C$45</f>
        <v>0.002078335689587347</v>
      </c>
      <c r="R18" s="58">
        <f>8.686*P18/2/'Enter data'!C$45</f>
        <v>0.0011801036512839058</v>
      </c>
      <c r="S18" s="58">
        <f t="shared" si="6"/>
        <v>0.000633484421356787</v>
      </c>
      <c r="T18" s="58">
        <f t="shared" si="7"/>
        <v>0.0003596999668629315</v>
      </c>
      <c r="U18" s="36">
        <f t="shared" si="0"/>
        <v>0.05633915714916221</v>
      </c>
      <c r="V18" s="36">
        <f>U18/(2*'Enter data'!$C$45)</f>
        <v>0.000375136926188263</v>
      </c>
      <c r="W18" s="36">
        <f t="shared" si="1"/>
        <v>0.0032583943244401097</v>
      </c>
      <c r="Y18" s="8"/>
      <c r="Z18" s="8">
        <f>4*PI()^2*D18*'Enter data'!$C$82*'Enter data'!$E$14*'Enter data'!$E$15/LN('Enter data'!$C$44)</f>
        <v>9.823840234053755E-14</v>
      </c>
      <c r="AA18" s="58">
        <f>27.28753*'Enter data'!$E$14^0.5*'Enter data'!$E$15*D18/'Enter data'!$C$83</f>
        <v>3.201515664572398E-11</v>
      </c>
      <c r="AB18" s="58">
        <f t="shared" si="14"/>
        <v>9.758338407011698E-12</v>
      </c>
      <c r="AC18" s="8"/>
      <c r="AD18" s="36">
        <f>2*PI()/'Enter data'!$E$10/LN($C$3/$C$2)</f>
        <v>4.19829126836701E-16</v>
      </c>
      <c r="AE18" s="52">
        <f>8.686*AD18*'Enter data'!$C$45/2</f>
        <v>1.3691559855720513E-13</v>
      </c>
      <c r="AF18" s="58">
        <f t="shared" si="8"/>
        <v>4.17323819060001E-14</v>
      </c>
      <c r="AH18" s="8">
        <f t="shared" si="2"/>
        <v>0.003258439373023325</v>
      </c>
      <c r="AI18" s="58">
        <f t="shared" si="9"/>
        <v>0.0009931843980197893</v>
      </c>
    </row>
    <row r="19" spans="4:35" ht="12.75">
      <c r="D19" s="8">
        <f>D18*'Enter data'!$C$74</f>
        <v>2.3204169947445816</v>
      </c>
      <c r="E19" s="36">
        <f t="shared" si="3"/>
        <v>2.3204169947445816E-09</v>
      </c>
      <c r="G19" s="8">
        <f t="shared" si="10"/>
        <v>0.05378486090519415</v>
      </c>
      <c r="H19" s="8">
        <f t="shared" si="11"/>
        <v>0.042735135305188694</v>
      </c>
      <c r="I19" s="8">
        <f t="shared" si="12"/>
        <v>7.374165122026249E-07</v>
      </c>
      <c r="J19" s="8">
        <f t="shared" si="13"/>
        <v>8.196631018725384E-07</v>
      </c>
      <c r="K19" s="8">
        <f>'Enter data'!$C$83/D19</f>
        <v>129197665.19508682</v>
      </c>
      <c r="L19" s="8"/>
      <c r="M19" s="8">
        <f>1+(2.7182818^(-G19/2/'Enter data'!C$31))^1.6</f>
        <v>1</v>
      </c>
      <c r="N19" s="8">
        <f>1+(2.7182818^(-H19/2/'Enter data'!D$31))^1.6</f>
        <v>1</v>
      </c>
      <c r="O19" s="8">
        <f t="shared" si="4"/>
        <v>0.035936271512073785</v>
      </c>
      <c r="P19" s="8">
        <f t="shared" si="5"/>
        <v>0.020410824839839622</v>
      </c>
      <c r="Q19" s="58">
        <f>8.686*O19/2/'Enter data'!C$45</f>
        <v>0.002078415205061571</v>
      </c>
      <c r="R19" s="58">
        <f>8.686*P19/2/'Enter data'!C$45</f>
        <v>0.0011804833086459228</v>
      </c>
      <c r="S19" s="58">
        <f t="shared" si="6"/>
        <v>0.0006335086579680477</v>
      </c>
      <c r="T19" s="58">
        <f t="shared" si="7"/>
        <v>0.00035981568783404133</v>
      </c>
      <c r="U19" s="36">
        <f t="shared" si="0"/>
        <v>0.05634709635191341</v>
      </c>
      <c r="V19" s="36">
        <f>U19/(2*'Enter data'!$C$45)</f>
        <v>0.00037518978974297653</v>
      </c>
      <c r="W19" s="36">
        <f t="shared" si="1"/>
        <v>0.0032588534909327245</v>
      </c>
      <c r="Y19" s="8"/>
      <c r="Z19" s="8">
        <f>4*PI()^2*D19*'Enter data'!$C$82*'Enter data'!$E$14*'Enter data'!$E$15/LN('Enter data'!$C$44)</f>
        <v>1.1625041137542698E-13</v>
      </c>
      <c r="AA19" s="58">
        <f>27.28753*'Enter data'!$E$14^0.5*'Enter data'!$E$15*D19/'Enter data'!$C$83</f>
        <v>3.788513495377129E-11</v>
      </c>
      <c r="AB19" s="58">
        <f t="shared" si="14"/>
        <v>1.154752955186884E-11</v>
      </c>
      <c r="AC19" s="8"/>
      <c r="AD19" s="36">
        <f>2*PI()/'Enter data'!$E$10/LN($C$3/$C$2)</f>
        <v>4.19829126836701E-16</v>
      </c>
      <c r="AE19" s="52">
        <f>8.686*AD19*'Enter data'!$C$45/2</f>
        <v>1.3691559855720513E-13</v>
      </c>
      <c r="AF19" s="58">
        <f t="shared" si="8"/>
        <v>4.17323819060001E-14</v>
      </c>
      <c r="AH19" s="8">
        <f t="shared" si="2"/>
        <v>0.0032588985517295445</v>
      </c>
      <c r="AI19" s="58">
        <f t="shared" si="9"/>
        <v>0.000993324357391351</v>
      </c>
    </row>
    <row r="20" spans="4:35" ht="12.75">
      <c r="D20" s="8">
        <f>D19*'Enter data'!$C$74</f>
        <v>2.7458654026815226</v>
      </c>
      <c r="E20" s="36">
        <f t="shared" si="3"/>
        <v>2.7458654026815226E-09</v>
      </c>
      <c r="G20" s="8">
        <f t="shared" si="10"/>
        <v>0.04944284425331239</v>
      </c>
      <c r="H20" s="8">
        <f t="shared" si="11"/>
        <v>0.03928515577577005</v>
      </c>
      <c r="I20" s="8">
        <f t="shared" si="12"/>
        <v>7.3738582323147E-07</v>
      </c>
      <c r="J20" s="8">
        <f t="shared" si="13"/>
        <v>8.193763906060657E-07</v>
      </c>
      <c r="K20" s="8">
        <f>'Enter data'!$C$83/D20</f>
        <v>109179589.68681876</v>
      </c>
      <c r="L20" s="8"/>
      <c r="M20" s="8">
        <f>1+(2.7182818^(-G20/2/'Enter data'!C$31))^1.6</f>
        <v>1</v>
      </c>
      <c r="N20" s="8">
        <f>1+(2.7182818^(-H20/2/'Enter data'!D$31))^1.6</f>
        <v>1</v>
      </c>
      <c r="O20" s="8">
        <f t="shared" si="4"/>
        <v>0.035937767129652944</v>
      </c>
      <c r="P20" s="8">
        <f t="shared" si="5"/>
        <v>0.020417966873106232</v>
      </c>
      <c r="Q20" s="58">
        <f>8.686*O20/2/'Enter data'!C$45</f>
        <v>0.002078501705808218</v>
      </c>
      <c r="R20" s="58">
        <f>8.686*P20/2/'Enter data'!C$45</f>
        <v>0.001180896376276809</v>
      </c>
      <c r="S20" s="58">
        <f t="shared" si="6"/>
        <v>0.0006335350237162331</v>
      </c>
      <c r="T20" s="58">
        <f t="shared" si="7"/>
        <v>0.0003599415923789347</v>
      </c>
      <c r="U20" s="36">
        <f t="shared" si="0"/>
        <v>0.05635573400275917</v>
      </c>
      <c r="V20" s="36">
        <f>U20/(2*'Enter data'!$C$45)</f>
        <v>0.0003752473039471594</v>
      </c>
      <c r="W20" s="36">
        <f t="shared" si="1"/>
        <v>0.0032593530524085523</v>
      </c>
      <c r="Y20" s="8"/>
      <c r="Z20" s="8">
        <f>4*PI()^2*D20*'Enter data'!$C$82*'Enter data'!$E$14*'Enter data'!$E$15/LN('Enter data'!$C$44)</f>
        <v>1.3756492189388403E-13</v>
      </c>
      <c r="AA20" s="58">
        <f>27.28753*'Enter data'!$E$14^0.5*'Enter data'!$E$15*D20/'Enter data'!$C$83</f>
        <v>4.483137366304792E-11</v>
      </c>
      <c r="AB20" s="58">
        <f t="shared" si="14"/>
        <v>1.3664768856086296E-11</v>
      </c>
      <c r="AC20" s="8"/>
      <c r="AD20" s="36">
        <f>2*PI()/'Enter data'!$E$10/LN($C$3/$C$2)</f>
        <v>4.19829126836701E-16</v>
      </c>
      <c r="AE20" s="52">
        <f>8.686*AD20*'Enter data'!$C$45/2</f>
        <v>1.3691559855720513E-13</v>
      </c>
      <c r="AF20" s="58">
        <f t="shared" si="8"/>
        <v>4.17323819060001E-14</v>
      </c>
      <c r="AH20" s="8">
        <f t="shared" si="2"/>
        <v>0.0032593981270533164</v>
      </c>
      <c r="AI20" s="58">
        <f t="shared" si="9"/>
        <v>0.0009934766298016692</v>
      </c>
    </row>
    <row r="21" spans="4:35" ht="12.75">
      <c r="D21" s="8">
        <f>D20*'Enter data'!$C$74</f>
        <v>3.249319767403831</v>
      </c>
      <c r="E21" s="36">
        <f t="shared" si="3"/>
        <v>3.249319767403831E-09</v>
      </c>
      <c r="G21" s="8">
        <f t="shared" si="10"/>
        <v>0.04545135576656711</v>
      </c>
      <c r="H21" s="8">
        <f t="shared" si="11"/>
        <v>0.03611369083787914</v>
      </c>
      <c r="I21" s="8">
        <f t="shared" si="12"/>
        <v>7.373524411200657E-07</v>
      </c>
      <c r="J21" s="8">
        <f t="shared" si="13"/>
        <v>8.190646716147282E-07</v>
      </c>
      <c r="K21" s="8">
        <f>'Enter data'!$C$83/D21</f>
        <v>92263144.12247913</v>
      </c>
      <c r="L21" s="8"/>
      <c r="M21" s="8">
        <f>1+(2.7182818^(-G21/2/'Enter data'!C$31))^1.6</f>
        <v>1</v>
      </c>
      <c r="N21" s="8">
        <f>1+(2.7182818^(-H21/2/'Enter data'!D$31))^1.6</f>
        <v>1</v>
      </c>
      <c r="O21" s="8">
        <f t="shared" si="4"/>
        <v>0.03593939413795866</v>
      </c>
      <c r="P21" s="8">
        <f t="shared" si="5"/>
        <v>0.020425737526950084</v>
      </c>
      <c r="Q21" s="58">
        <f>8.686*O21/2/'Enter data'!C$45</f>
        <v>0.002078595805687228</v>
      </c>
      <c r="R21" s="58">
        <f>8.686*P21/2/'Enter data'!C$45</f>
        <v>0.001181345800894967</v>
      </c>
      <c r="S21" s="58">
        <f t="shared" si="6"/>
        <v>0.0006335637057081284</v>
      </c>
      <c r="T21" s="58">
        <f t="shared" si="7"/>
        <v>0.0003600785786683025</v>
      </c>
      <c r="U21" s="36">
        <f t="shared" si="0"/>
        <v>0.05636513166490874</v>
      </c>
      <c r="V21" s="36">
        <f>U21/(2*'Enter data'!$C$45)</f>
        <v>0.00037530987872233415</v>
      </c>
      <c r="W21" s="36">
        <f t="shared" si="1"/>
        <v>0.0032598965693967476</v>
      </c>
      <c r="Y21" s="8"/>
      <c r="Z21" s="8">
        <f>4*PI()^2*D21*'Enter data'!$C$82*'Enter data'!$E$14*'Enter data'!$E$15/LN('Enter data'!$C$44)</f>
        <v>1.627874474745351E-13</v>
      </c>
      <c r="AA21" s="58">
        <f>27.28753*'Enter data'!$E$14^0.5*'Enter data'!$E$15*D21/'Enter data'!$C$83</f>
        <v>5.305120509583285E-11</v>
      </c>
      <c r="AB21" s="58">
        <f t="shared" si="14"/>
        <v>1.6170203942889798E-11</v>
      </c>
      <c r="AC21" s="8"/>
      <c r="AD21" s="36">
        <f>2*PI()/'Enter data'!$E$10/LN($C$3/$C$2)</f>
        <v>4.19829126836701E-16</v>
      </c>
      <c r="AE21" s="52">
        <f>8.686*AD21*'Enter data'!$C$45/2</f>
        <v>1.3691559855720513E-13</v>
      </c>
      <c r="AF21" s="58">
        <f t="shared" si="8"/>
        <v>4.17323819060001E-14</v>
      </c>
      <c r="AH21" s="8">
        <f t="shared" si="2"/>
        <v>0.0032599416597703153</v>
      </c>
      <c r="AI21" s="58">
        <f t="shared" si="9"/>
        <v>0.0009936423005883672</v>
      </c>
    </row>
    <row r="22" spans="4:35" ht="12.75">
      <c r="D22" s="8">
        <f>D21*'Enter data'!$C$74</f>
        <v>3.845082479472814</v>
      </c>
      <c r="E22" s="36">
        <f t="shared" si="3"/>
        <v>3.845082479472814E-09</v>
      </c>
      <c r="G22" s="8">
        <f t="shared" si="10"/>
        <v>0.04178209753539117</v>
      </c>
      <c r="H22" s="8">
        <f t="shared" si="11"/>
        <v>0.033198256190657846</v>
      </c>
      <c r="I22" s="8">
        <f t="shared" si="12"/>
        <v>7.373161297097889E-07</v>
      </c>
      <c r="J22" s="8">
        <f t="shared" si="13"/>
        <v>8.187257799510846E-07</v>
      </c>
      <c r="K22" s="8">
        <f>'Enter data'!$C$83/D22</f>
        <v>77967757.41494718</v>
      </c>
      <c r="L22" s="8"/>
      <c r="M22" s="8">
        <f>1+(2.7182818^(-G22/2/'Enter data'!C$31))^1.6</f>
        <v>1</v>
      </c>
      <c r="N22" s="8">
        <f>1+(2.7182818^(-H22/2/'Enter data'!D$31))^1.6</f>
        <v>1</v>
      </c>
      <c r="O22" s="8">
        <f t="shared" si="4"/>
        <v>0.03594116408443489</v>
      </c>
      <c r="P22" s="8">
        <f t="shared" si="5"/>
        <v>0.020434192265204532</v>
      </c>
      <c r="Q22" s="58">
        <f>8.686*O22/2/'Enter data'!C$45</f>
        <v>0.0020786981725581786</v>
      </c>
      <c r="R22" s="58">
        <f>8.686*P22/2/'Enter data'!C$45</f>
        <v>0.0011818347903143885</v>
      </c>
      <c r="S22" s="58">
        <f t="shared" si="6"/>
        <v>0.0006335949075098081</v>
      </c>
      <c r="T22" s="58">
        <f t="shared" si="7"/>
        <v>0.000360227624455739</v>
      </c>
      <c r="U22" s="36">
        <f t="shared" si="0"/>
        <v>0.056375356349639416</v>
      </c>
      <c r="V22" s="36">
        <f>U22/(2*'Enter data'!$C$45)</f>
        <v>0.00037537796026624074</v>
      </c>
      <c r="W22" s="36">
        <f t="shared" si="1"/>
        <v>0.003260487917517335</v>
      </c>
      <c r="Y22" s="8"/>
      <c r="Z22" s="8">
        <f>4*PI()^2*D22*'Enter data'!$C$82*'Enter data'!$E$14*'Enter data'!$E$15/LN('Enter data'!$C$44)</f>
        <v>1.9263452259810903E-13</v>
      </c>
      <c r="AA22" s="58">
        <f>27.28753*'Enter data'!$E$14^0.5*'Enter data'!$E$15*D22/'Enter data'!$C$83</f>
        <v>6.277814245160869E-11</v>
      </c>
      <c r="AB22" s="58">
        <f t="shared" si="14"/>
        <v>1.913501050097802E-11</v>
      </c>
      <c r="AC22" s="8"/>
      <c r="AD22" s="36">
        <f>2*PI()/'Enter data'!$E$10/LN($C$3/$C$2)</f>
        <v>4.19829126836701E-16</v>
      </c>
      <c r="AE22" s="52">
        <f>8.686*AD22*'Enter data'!$C$45/2</f>
        <v>1.3691559855720513E-13</v>
      </c>
      <c r="AF22" s="58">
        <f t="shared" si="8"/>
        <v>4.17323819060001E-14</v>
      </c>
      <c r="AH22" s="8">
        <f t="shared" si="2"/>
        <v>0.0032605330257876254</v>
      </c>
      <c r="AI22" s="58">
        <f t="shared" si="9"/>
        <v>0.0009938225511422901</v>
      </c>
    </row>
    <row r="23" spans="4:35" ht="12.75">
      <c r="D23" s="8">
        <f>D22*'Enter data'!$C$74</f>
        <v>4.550078272463032</v>
      </c>
      <c r="E23" s="36">
        <f t="shared" si="3"/>
        <v>4.550078272463032E-09</v>
      </c>
      <c r="G23" s="8">
        <f t="shared" si="10"/>
        <v>0.03840905612195329</v>
      </c>
      <c r="H23" s="8">
        <f t="shared" si="11"/>
        <v>0.030518182676154214</v>
      </c>
      <c r="I23" s="8">
        <f t="shared" si="12"/>
        <v>7.372766321733748E-07</v>
      </c>
      <c r="J23" s="8">
        <f t="shared" si="13"/>
        <v>8.183573662251568E-07</v>
      </c>
      <c r="K23" s="8">
        <f>'Enter data'!$C$83/D23</f>
        <v>65887318.865334034</v>
      </c>
      <c r="L23" s="8"/>
      <c r="M23" s="8">
        <f>1+(2.7182818^(-G23/2/'Enter data'!C$31))^1.6</f>
        <v>1</v>
      </c>
      <c r="N23" s="8">
        <f>1+(2.7182818^(-H23/2/'Enter data'!D$31))^1.6</f>
        <v>1</v>
      </c>
      <c r="O23" s="8">
        <f t="shared" si="4"/>
        <v>0.035943089531919915</v>
      </c>
      <c r="P23" s="8">
        <f t="shared" si="5"/>
        <v>0.02044339146987898</v>
      </c>
      <c r="Q23" s="58">
        <f>8.686*O23/2/'Enter data'!C$45</f>
        <v>0.002078809533007136</v>
      </c>
      <c r="R23" s="58">
        <f>8.686*P23/2/'Enter data'!C$45</f>
        <v>0.0011823668367973805</v>
      </c>
      <c r="S23" s="58">
        <f t="shared" si="6"/>
        <v>0.0006336288505873982</v>
      </c>
      <c r="T23" s="58">
        <f t="shared" si="7"/>
        <v>0.000360389794195739</v>
      </c>
      <c r="U23" s="36">
        <f t="shared" si="0"/>
        <v>0.0563864810017989</v>
      </c>
      <c r="V23" s="36">
        <f>U23/(2*'Enter data'!$C$45)</f>
        <v>0.00037545203428557635</v>
      </c>
      <c r="W23" s="36">
        <f t="shared" si="1"/>
        <v>0.0032611313155604016</v>
      </c>
      <c r="Y23" s="8"/>
      <c r="Z23" s="8">
        <f>4*PI()^2*D23*'Enter data'!$C$82*'Enter data'!$E$14*'Enter data'!$E$15/LN('Enter data'!$C$44)</f>
        <v>2.279540583275392E-13</v>
      </c>
      <c r="AA23" s="58">
        <f>27.28753*'Enter data'!$E$14^0.5*'Enter data'!$E$15*D23/'Enter data'!$C$83</f>
        <v>7.428851357014783E-11</v>
      </c>
      <c r="AB23" s="58">
        <f t="shared" si="14"/>
        <v>2.2643414280098705E-11</v>
      </c>
      <c r="AC23" s="8"/>
      <c r="AD23" s="36">
        <f>2*PI()/'Enter data'!$E$10/LN($C$3/$C$2)</f>
        <v>4.19829126836701E-16</v>
      </c>
      <c r="AE23" s="52">
        <f>8.686*AD23*'Enter data'!$C$45/2</f>
        <v>1.3691559855720513E-13</v>
      </c>
      <c r="AF23" s="58">
        <f t="shared" si="8"/>
        <v>4.17323819060001E-14</v>
      </c>
      <c r="AH23" s="8">
        <f t="shared" si="2"/>
        <v>0.0032611764442299455</v>
      </c>
      <c r="AI23" s="58">
        <f t="shared" si="9"/>
        <v>0.0009940186674682837</v>
      </c>
    </row>
    <row r="24" spans="4:35" ht="12.75">
      <c r="D24" s="8">
        <f>D23*'Enter data'!$C$74</f>
        <v>5.384335029499475</v>
      </c>
      <c r="E24" s="36">
        <f t="shared" si="3"/>
        <v>5.384335029499475E-09</v>
      </c>
      <c r="G24" s="8">
        <f t="shared" si="10"/>
        <v>0.03530831813624853</v>
      </c>
      <c r="H24" s="8">
        <f t="shared" si="11"/>
        <v>0.02805446974402252</v>
      </c>
      <c r="I24" s="8">
        <f t="shared" si="12"/>
        <v>7.372336692045262E-07</v>
      </c>
      <c r="J24" s="8">
        <f t="shared" si="13"/>
        <v>8.179568814395853E-07</v>
      </c>
      <c r="K24" s="8">
        <f>'Enter data'!$C$83/D24</f>
        <v>55678641.1613522</v>
      </c>
      <c r="L24" s="8"/>
      <c r="M24" s="8">
        <f>1+(2.7182818^(-G24/2/'Enter data'!C$31))^1.6</f>
        <v>1</v>
      </c>
      <c r="N24" s="8">
        <f>1+(2.7182818^(-H24/2/'Enter data'!D$31))^1.6</f>
        <v>1</v>
      </c>
      <c r="O24" s="8">
        <f t="shared" si="4"/>
        <v>0.03594518414845791</v>
      </c>
      <c r="P24" s="8">
        <f t="shared" si="5"/>
        <v>0.02045340088166455</v>
      </c>
      <c r="Q24" s="58">
        <f>8.686*O24/2/'Enter data'!C$45</f>
        <v>0.002078930677541005</v>
      </c>
      <c r="R24" s="58">
        <f>8.686*P24/2/'Enter data'!C$45</f>
        <v>0.0011829457425317125</v>
      </c>
      <c r="S24" s="58">
        <f t="shared" si="6"/>
        <v>0.0006336657758903332</v>
      </c>
      <c r="T24" s="58">
        <f t="shared" si="7"/>
        <v>0.0003605662468092271</v>
      </c>
      <c r="U24" s="36">
        <f t="shared" si="0"/>
        <v>0.05639858503012246</v>
      </c>
      <c r="V24" s="36">
        <f>U24/(2*'Enter data'!$C$45)</f>
        <v>0.0003755326295271377</v>
      </c>
      <c r="W24" s="36">
        <f t="shared" si="1"/>
        <v>0.0032618313561571747</v>
      </c>
      <c r="Y24" s="8"/>
      <c r="Z24" s="8">
        <f>4*PI()^2*D24*'Enter data'!$C$82*'Enter data'!$E$14*'Enter data'!$E$15/LN('Enter data'!$C$44)</f>
        <v>2.697494302015896E-13</v>
      </c>
      <c r="AA24" s="58">
        <f>27.28753*'Enter data'!$E$14^0.5*'Enter data'!$E$15*D24/'Enter data'!$C$83</f>
        <v>8.790931099492287E-11</v>
      </c>
      <c r="AB24" s="58">
        <f t="shared" si="14"/>
        <v>2.6795083819471734E-11</v>
      </c>
      <c r="AC24" s="8"/>
      <c r="AD24" s="36">
        <f>2*PI()/'Enter data'!$E$10/LN($C$3/$C$2)</f>
        <v>4.19829126836701E-16</v>
      </c>
      <c r="AE24" s="52">
        <f>8.686*AD24*'Enter data'!$C$45/2</f>
        <v>1.3691559855720513E-13</v>
      </c>
      <c r="AF24" s="58">
        <f t="shared" si="8"/>
        <v>4.17323819060001E-14</v>
      </c>
      <c r="AH24" s="8">
        <f t="shared" si="2"/>
        <v>0.003261876508118944</v>
      </c>
      <c r="AI24" s="58">
        <f t="shared" si="9"/>
        <v>0.0009942320495363764</v>
      </c>
    </row>
    <row r="25" spans="4:35" ht="12.75">
      <c r="D25" s="8">
        <f>D24*'Enter data'!$C$74</f>
        <v>6.3715527456633785</v>
      </c>
      <c r="E25" s="36">
        <f t="shared" si="3"/>
        <v>6.371552745663379E-09</v>
      </c>
      <c r="G25" s="8">
        <f t="shared" si="10"/>
        <v>0.03245790070061053</v>
      </c>
      <c r="H25" s="8">
        <f t="shared" si="11"/>
        <v>0.02578965074592235</v>
      </c>
      <c r="I25" s="8">
        <f t="shared" si="12"/>
        <v>7.371869370615707E-07</v>
      </c>
      <c r="J25" s="8">
        <f t="shared" si="13"/>
        <v>8.175215606737845E-07</v>
      </c>
      <c r="K25" s="8">
        <f>'Enter data'!$C$83/D25</f>
        <v>47051710.93561855</v>
      </c>
      <c r="L25" s="8"/>
      <c r="M25" s="8">
        <f>1+(2.7182818^(-G25/2/'Enter data'!C$31))^1.6</f>
        <v>1</v>
      </c>
      <c r="N25" s="8">
        <f>1+(2.7182818^(-H25/2/'Enter data'!D$31))^1.6</f>
        <v>1</v>
      </c>
      <c r="O25" s="8">
        <f t="shared" si="4"/>
        <v>0.035947462804521574</v>
      </c>
      <c r="P25" s="8">
        <f t="shared" si="5"/>
        <v>0.02046429208082473</v>
      </c>
      <c r="Q25" s="58">
        <f>8.686*O25/2/'Enter data'!C$45</f>
        <v>0.0020790624662105186</v>
      </c>
      <c r="R25" s="58">
        <f>8.686*P25/2/'Enter data'!C$45</f>
        <v>0.0011835756474434746</v>
      </c>
      <c r="S25" s="58">
        <f t="shared" si="6"/>
        <v>0.0006337059455652641</v>
      </c>
      <c r="T25" s="58">
        <f t="shared" si="7"/>
        <v>0.00036075824416102005</v>
      </c>
      <c r="U25" s="36">
        <f t="shared" si="0"/>
        <v>0.056411754885346305</v>
      </c>
      <c r="V25" s="36">
        <f>U25/(2*'Enter data'!$C$45)</f>
        <v>0.0003756203216272154</v>
      </c>
      <c r="W25" s="36">
        <f t="shared" si="1"/>
        <v>0.0032625930392153973</v>
      </c>
      <c r="Y25" s="8"/>
      <c r="Z25" s="8">
        <f>4*PI()^2*D25*'Enter data'!$C$82*'Enter data'!$E$14*'Enter data'!$E$15/LN('Enter data'!$C$44)</f>
        <v>3.1920798264327947E-13</v>
      </c>
      <c r="AA25" s="58">
        <f>27.28753*'Enter data'!$E$14^0.5*'Enter data'!$E$15*D25/'Enter data'!$C$83</f>
        <v>1.0402748134548103E-10</v>
      </c>
      <c r="AB25" s="58">
        <f t="shared" si="14"/>
        <v>3.170796188291911E-11</v>
      </c>
      <c r="AC25" s="8"/>
      <c r="AD25" s="36">
        <f>2*PI()/'Enter data'!$E$10/LN($C$3/$C$2)</f>
        <v>4.19829126836701E-16</v>
      </c>
      <c r="AE25" s="52">
        <f>8.686*AD25*'Enter data'!$C$45/2</f>
        <v>1.3691559855720513E-13</v>
      </c>
      <c r="AF25" s="58">
        <f t="shared" si="8"/>
        <v>4.17323819060001E-14</v>
      </c>
      <c r="AH25" s="8">
        <f t="shared" si="2"/>
        <v>0.0032626382178183905</v>
      </c>
      <c r="AI25" s="58">
        <f t="shared" si="9"/>
        <v>0.0009944642214759784</v>
      </c>
    </row>
    <row r="26" spans="4:35" ht="12.75">
      <c r="D26" s="8">
        <f>D25*'Enter data'!$C$74</f>
        <v>7.539776809643359</v>
      </c>
      <c r="E26" s="36">
        <f t="shared" si="3"/>
        <v>7.53977680964336E-09</v>
      </c>
      <c r="G26" s="8">
        <f t="shared" si="10"/>
        <v>0.02983759560071271</v>
      </c>
      <c r="H26" s="8">
        <f t="shared" si="11"/>
        <v>0.02370766910461266</v>
      </c>
      <c r="I26" s="8">
        <f t="shared" si="12"/>
        <v>7.371361054279272E-07</v>
      </c>
      <c r="J26" s="8">
        <f t="shared" si="13"/>
        <v>8.17048405556262E-07</v>
      </c>
      <c r="K26" s="8">
        <f>'Enter data'!$C$83/D26</f>
        <v>39761449.91673574</v>
      </c>
      <c r="L26" s="8"/>
      <c r="M26" s="8">
        <f>1+(2.7182818^(-G26/2/'Enter data'!C$31))^1.6</f>
        <v>1</v>
      </c>
      <c r="N26" s="8">
        <f>1+(2.7182818^(-H26/2/'Enter data'!D$31))^1.6</f>
        <v>1</v>
      </c>
      <c r="O26" s="8">
        <f t="shared" si="4"/>
        <v>0.03594994167951662</v>
      </c>
      <c r="P26" s="8">
        <f t="shared" si="5"/>
        <v>0.02047614301212656</v>
      </c>
      <c r="Q26" s="58">
        <f>8.686*O26/2/'Enter data'!C$45</f>
        <v>0.002079205834770037</v>
      </c>
      <c r="R26" s="58">
        <f>8.686*P26/2/'Enter data'!C$45</f>
        <v>0.001184261059557071</v>
      </c>
      <c r="S26" s="58">
        <f t="shared" si="6"/>
        <v>0.0006337496448335885</v>
      </c>
      <c r="T26" s="58">
        <f t="shared" si="7"/>
        <v>0.0003609671603136646</v>
      </c>
      <c r="U26" s="36">
        <f t="shared" si="0"/>
        <v>0.05642608469164318</v>
      </c>
      <c r="V26" s="36">
        <f>U26/(2*'Enter data'!$C$45)</f>
        <v>0.0003757157373160382</v>
      </c>
      <c r="W26" s="36">
        <f t="shared" si="1"/>
        <v>0.0032634218084386293</v>
      </c>
      <c r="Y26" s="8"/>
      <c r="Z26" s="8">
        <f>4*PI()^2*D26*'Enter data'!$C$82*'Enter data'!$E$14*'Enter data'!$E$15/LN('Enter data'!$C$44)</f>
        <v>3.77734759651002E-13</v>
      </c>
      <c r="AA26" s="58">
        <f>27.28753*'Enter data'!$E$14^0.5*'Enter data'!$E$15*D26/'Enter data'!$C$83</f>
        <v>1.2310091789605087E-10</v>
      </c>
      <c r="AB26" s="58">
        <f t="shared" si="14"/>
        <v>3.752161603756732E-11</v>
      </c>
      <c r="AC26" s="8"/>
      <c r="AD26" s="36">
        <f>2*PI()/'Enter data'!$E$10/LN($C$3/$C$2)</f>
        <v>4.19829126836701E-16</v>
      </c>
      <c r="AE26" s="52">
        <f>8.686*AD26*'Enter data'!$C$45/2</f>
        <v>1.3691559855720513E-13</v>
      </c>
      <c r="AF26" s="58">
        <f t="shared" si="8"/>
        <v>4.17323819060001E-14</v>
      </c>
      <c r="AH26" s="8">
        <f t="shared" si="2"/>
        <v>0.0032634670175649416</v>
      </c>
      <c r="AI26" s="58">
        <f t="shared" si="9"/>
        <v>0.0009947168427106015</v>
      </c>
    </row>
    <row r="27" spans="4:35" ht="12.75">
      <c r="D27" s="8">
        <f>D26*'Enter data'!$C$74</f>
        <v>8.92219473156335</v>
      </c>
      <c r="E27" s="36">
        <f t="shared" si="3"/>
        <v>8.922194731563349E-09</v>
      </c>
      <c r="G27" s="8">
        <f t="shared" si="10"/>
        <v>0.027428826018157236</v>
      </c>
      <c r="H27" s="8">
        <f t="shared" si="11"/>
        <v>0.021793764479833944</v>
      </c>
      <c r="I27" s="8">
        <f t="shared" si="12"/>
        <v>7.37080815114772E-07</v>
      </c>
      <c r="J27" s="8">
        <f t="shared" si="13"/>
        <v>8.165341654583593E-07</v>
      </c>
      <c r="K27" s="8">
        <f>'Enter data'!$C$83/D27</f>
        <v>33600752.61969431</v>
      </c>
      <c r="L27" s="8"/>
      <c r="M27" s="8">
        <f>1+(2.7182818^(-G27/2/'Enter data'!C$31))^1.6</f>
        <v>1</v>
      </c>
      <c r="N27" s="8">
        <f>1+(2.7182818^(-H27/2/'Enter data'!D$31))^1.6</f>
        <v>1</v>
      </c>
      <c r="O27" s="8">
        <f t="shared" si="4"/>
        <v>0.03595263837639519</v>
      </c>
      <c r="P27" s="8">
        <f t="shared" si="5"/>
        <v>0.020489038557999176</v>
      </c>
      <c r="Q27" s="58">
        <f>8.686*O27/2/'Enter data'!C$45</f>
        <v>0.002079361801306353</v>
      </c>
      <c r="R27" s="58">
        <f>8.686*P27/2/'Enter data'!C$45</f>
        <v>0.0011850068881444971</v>
      </c>
      <c r="S27" s="58">
        <f t="shared" si="6"/>
        <v>0.0006337971840119339</v>
      </c>
      <c r="T27" s="58">
        <f t="shared" si="7"/>
        <v>0.0003611944916314609</v>
      </c>
      <c r="U27" s="36">
        <f t="shared" si="0"/>
        <v>0.056441676934394364</v>
      </c>
      <c r="V27" s="36">
        <f>U27/(2*'Enter data'!$C$45)</f>
        <v>0.0003758195589973348</v>
      </c>
      <c r="W27" s="36">
        <f t="shared" si="1"/>
        <v>0.00326432359110377</v>
      </c>
      <c r="Y27" s="8"/>
      <c r="Z27" s="8">
        <f>4*PI()^2*D27*'Enter data'!$C$82*'Enter data'!$E$14*'Enter data'!$E$15/LN('Enter data'!$C$44)</f>
        <v>4.469924200111613E-13</v>
      </c>
      <c r="AA27" s="58">
        <f>27.28753*'Enter data'!$E$14^0.5*'Enter data'!$E$15*D27/'Enter data'!$C$83</f>
        <v>1.4567146864320907E-10</v>
      </c>
      <c r="AB27" s="58">
        <f t="shared" si="14"/>
        <v>4.4401203561085424E-11</v>
      </c>
      <c r="AC27" s="8"/>
      <c r="AD27" s="36">
        <f>2*PI()/'Enter data'!$E$10/LN($C$3/$C$2)</f>
        <v>4.19829126836701E-16</v>
      </c>
      <c r="AE27" s="52">
        <f>8.686*AD27*'Enter data'!$C$45/2</f>
        <v>1.3691559855720513E-13</v>
      </c>
      <c r="AF27" s="58">
        <f t="shared" si="8"/>
        <v>4.17323819060001E-14</v>
      </c>
      <c r="AH27" s="8">
        <f t="shared" si="2"/>
        <v>0.0032643688352592343</v>
      </c>
      <c r="AI27" s="58">
        <f t="shared" si="9"/>
        <v>0.0009949917200863308</v>
      </c>
    </row>
    <row r="28" spans="4:35" ht="12.75">
      <c r="D28" s="8">
        <f>D27*'Enter data'!$C$74</f>
        <v>10.558078950841283</v>
      </c>
      <c r="E28" s="36">
        <f t="shared" si="3"/>
        <v>1.0558078950841283E-08</v>
      </c>
      <c r="G28" s="8">
        <f t="shared" si="10"/>
        <v>0.025214514828948514</v>
      </c>
      <c r="H28" s="8">
        <f t="shared" si="11"/>
        <v>0.020034368123944334</v>
      </c>
      <c r="I28" s="8">
        <f t="shared" si="12"/>
        <v>7.370206755351655E-07</v>
      </c>
      <c r="J28" s="8">
        <f t="shared" si="13"/>
        <v>8.159753173348022E-07</v>
      </c>
      <c r="K28" s="8">
        <f>'Enter data'!$C$83/D28</f>
        <v>28394602.786723062</v>
      </c>
      <c r="L28" s="8"/>
      <c r="M28" s="8">
        <f>1+(2.7182818^(-G28/2/'Enter data'!C$31))^1.6</f>
        <v>1</v>
      </c>
      <c r="N28" s="8">
        <f>1+(2.7182818^(-H28/2/'Enter data'!D$31))^1.6</f>
        <v>1</v>
      </c>
      <c r="O28" s="8">
        <f t="shared" si="4"/>
        <v>0.03595557204790465</v>
      </c>
      <c r="P28" s="8">
        <f t="shared" si="5"/>
        <v>0.020503071164756234</v>
      </c>
      <c r="Q28" s="58">
        <f>8.686*O28/2/'Enter data'!C$45</f>
        <v>0.002079531473540432</v>
      </c>
      <c r="R28" s="58">
        <f>8.686*P28/2/'Enter data'!C$45</f>
        <v>0.0011858184799436275</v>
      </c>
      <c r="S28" s="58">
        <f t="shared" si="6"/>
        <v>0.0006338489007377566</v>
      </c>
      <c r="T28" s="58">
        <f t="shared" si="7"/>
        <v>0.00036144186781993034</v>
      </c>
      <c r="U28" s="36">
        <f t="shared" si="0"/>
        <v>0.056458643212660885</v>
      </c>
      <c r="V28" s="36">
        <f>U28/(2*'Enter data'!$C$45)</f>
        <v>0.000375932529758699</v>
      </c>
      <c r="W28" s="36">
        <f t="shared" si="1"/>
        <v>0.003265304841580488</v>
      </c>
      <c r="Y28" s="8"/>
      <c r="Z28" s="8">
        <f>4*PI()^2*D28*'Enter data'!$C$82*'Enter data'!$E$14*'Enter data'!$E$15/LN('Enter data'!$C$44)</f>
        <v>5.289484709642195E-13</v>
      </c>
      <c r="AA28" s="58">
        <f>27.28753*'Enter data'!$E$14^0.5*'Enter data'!$E$15*D28/'Enter data'!$C$83</f>
        <v>1.7238032940248448E-10</v>
      </c>
      <c r="AB28" s="58">
        <f t="shared" si="14"/>
        <v>5.2542163314583173E-11</v>
      </c>
      <c r="AC28" s="8"/>
      <c r="AD28" s="36">
        <f>2*PI()/'Enter data'!$E$10/LN($C$3/$C$2)</f>
        <v>4.19829126836701E-16</v>
      </c>
      <c r="AE28" s="52">
        <f>8.686*AD28*'Enter data'!$C$45/2</f>
        <v>1.3691559855720513E-13</v>
      </c>
      <c r="AF28" s="58">
        <f t="shared" si="8"/>
        <v>4.17323819060001E-14</v>
      </c>
      <c r="AH28" s="8">
        <f t="shared" si="2"/>
        <v>0.0032653501260013046</v>
      </c>
      <c r="AI28" s="58">
        <f t="shared" si="9"/>
        <v>0.0009952908211415827</v>
      </c>
    </row>
    <row r="29" spans="4:35" ht="12.75">
      <c r="D29" s="8">
        <f>D28*'Enter data'!$C$74</f>
        <v>12.493902507849146</v>
      </c>
      <c r="E29" s="36">
        <f t="shared" si="3"/>
        <v>1.2493902507849146E-08</v>
      </c>
      <c r="G29" s="8">
        <f t="shared" si="10"/>
        <v>0.023178963534144646</v>
      </c>
      <c r="H29" s="8">
        <f t="shared" si="11"/>
        <v>0.018417006685426708</v>
      </c>
      <c r="I29" s="8">
        <f t="shared" si="12"/>
        <v>7.369552619795297E-07</v>
      </c>
      <c r="J29" s="8">
        <f t="shared" si="13"/>
        <v>8.153680441543825E-07</v>
      </c>
      <c r="K29" s="8">
        <f>'Enter data'!$C$83/D29</f>
        <v>23995101.43541291</v>
      </c>
      <c r="L29" s="8"/>
      <c r="M29" s="8">
        <f>1+(2.7182818^(-G29/2/'Enter data'!C$31))^1.6</f>
        <v>1</v>
      </c>
      <c r="N29" s="8">
        <f>1+(2.7182818^(-H29/2/'Enter data'!D$31))^1.6</f>
        <v>1</v>
      </c>
      <c r="O29" s="8">
        <f t="shared" si="4"/>
        <v>0.03595876353310588</v>
      </c>
      <c r="P29" s="8">
        <f t="shared" si="5"/>
        <v>0.020518341526801764</v>
      </c>
      <c r="Q29" s="58">
        <f>8.686*O29/2/'Enter data'!C$45</f>
        <v>0.002079716056723101</v>
      </c>
      <c r="R29" s="58">
        <f>8.686*P29/2/'Enter data'!C$45</f>
        <v>0.00118670165873004</v>
      </c>
      <c r="S29" s="58">
        <f t="shared" si="6"/>
        <v>0.0006339051623759757</v>
      </c>
      <c r="T29" s="58">
        <f t="shared" si="7"/>
        <v>0.00036171106398745424</v>
      </c>
      <c r="U29" s="36">
        <f t="shared" si="0"/>
        <v>0.05647710505990764</v>
      </c>
      <c r="V29" s="36">
        <f>U29/(2*'Enter data'!$C$45)</f>
        <v>0.00037605545883641963</v>
      </c>
      <c r="W29" s="36">
        <f t="shared" si="1"/>
        <v>0.00326637258879808</v>
      </c>
      <c r="Y29" s="8"/>
      <c r="Z29" s="8">
        <f>4*PI()^2*D29*'Enter data'!$C$82*'Enter data'!$E$14*'Enter data'!$E$15/LN('Enter data'!$C$44)</f>
        <v>6.259311621624356E-13</v>
      </c>
      <c r="AA29" s="58">
        <f>27.28753*'Enter data'!$E$14^0.5*'Enter data'!$E$15*D29/'Enter data'!$C$83</f>
        <v>2.039862592289057E-10</v>
      </c>
      <c r="AB29" s="58">
        <f t="shared" si="14"/>
        <v>6.217576787030776E-11</v>
      </c>
      <c r="AC29" s="8"/>
      <c r="AD29" s="36">
        <f>2*PI()/'Enter data'!$E$10/LN($C$3/$C$2)</f>
        <v>4.19829126836701E-16</v>
      </c>
      <c r="AE29" s="52">
        <f>8.686*AD29*'Enter data'!$C$45/2</f>
        <v>1.3691559855720513E-13</v>
      </c>
      <c r="AF29" s="58">
        <f t="shared" si="8"/>
        <v>4.17323819060001E-14</v>
      </c>
      <c r="AH29" s="8">
        <f t="shared" si="2"/>
        <v>0.003266417919576316</v>
      </c>
      <c r="AI29" s="58">
        <f t="shared" si="9"/>
        <v>0.0009956162885809302</v>
      </c>
    </row>
    <row r="30" spans="4:35" ht="12.75">
      <c r="D30" s="8">
        <f>D29*'Enter data'!$C$74</f>
        <v>14.7846592739488</v>
      </c>
      <c r="E30" s="36">
        <f t="shared" si="3"/>
        <v>1.4784659273948799E-08</v>
      </c>
      <c r="G30" s="8">
        <f t="shared" si="10"/>
        <v>0.021307740964358342</v>
      </c>
      <c r="H30" s="8">
        <f t="shared" si="11"/>
        <v>0.016930213778275804</v>
      </c>
      <c r="I30" s="8">
        <f t="shared" si="12"/>
        <v>7.368841126526763E-07</v>
      </c>
      <c r="J30" s="8">
        <f t="shared" si="13"/>
        <v>8.147082118558021E-07</v>
      </c>
      <c r="K30" s="8">
        <f>'Enter data'!$C$83/D30</f>
        <v>20277265.268347923</v>
      </c>
      <c r="L30" s="8"/>
      <c r="M30" s="8">
        <f>1+(2.7182818^(-G30/2/'Enter data'!C$31))^1.6</f>
        <v>1</v>
      </c>
      <c r="N30" s="8">
        <f>1+(2.7182818^(-H30/2/'Enter data'!D$31))^1.6</f>
        <v>1</v>
      </c>
      <c r="O30" s="8">
        <f t="shared" si="4"/>
        <v>0.035962235506209826</v>
      </c>
      <c r="P30" s="8">
        <f t="shared" si="5"/>
        <v>0.02053495933457106</v>
      </c>
      <c r="Q30" s="58">
        <f>8.686*O30/2/'Enter data'!C$45</f>
        <v>0.0020799168622431838</v>
      </c>
      <c r="R30" s="58">
        <f>8.686*P30/2/'Enter data'!C$45</f>
        <v>0.0011876627685750301</v>
      </c>
      <c r="S30" s="58">
        <f t="shared" si="6"/>
        <v>0.0006339663686427651</v>
      </c>
      <c r="T30" s="58">
        <f t="shared" si="7"/>
        <v>0.00036200401383047737</v>
      </c>
      <c r="U30" s="36">
        <f t="shared" si="0"/>
        <v>0.05649719484078089</v>
      </c>
      <c r="V30" s="36">
        <f>U30/(2*'Enter data'!$C$45)</f>
        <v>0.0003761892275867159</v>
      </c>
      <c r="W30" s="36">
        <f t="shared" si="1"/>
        <v>0.0032675344881109036</v>
      </c>
      <c r="Y30" s="8"/>
      <c r="Z30" s="8">
        <f>4*PI()^2*D30*'Enter data'!$C$82*'Enter data'!$E$14*'Enter data'!$E$15/LN('Enter data'!$C$44)</f>
        <v>7.406956277835987E-13</v>
      </c>
      <c r="AA30" s="58">
        <f>27.28753*'Enter data'!$E$14^0.5*'Enter data'!$E$15*D30/'Enter data'!$C$83</f>
        <v>2.4138713563452905E-10</v>
      </c>
      <c r="AB30" s="58">
        <f t="shared" si="14"/>
        <v>7.357569362183889E-11</v>
      </c>
      <c r="AC30" s="8"/>
      <c r="AD30" s="36">
        <f>2*PI()/'Enter data'!$E$10/LN($C$3/$C$2)</f>
        <v>4.19829126836701E-16</v>
      </c>
      <c r="AE30" s="52">
        <f>8.686*AD30*'Enter data'!$C$45/2</f>
        <v>1.3691559855720513E-13</v>
      </c>
      <c r="AF30" s="58">
        <f t="shared" si="8"/>
        <v>4.17323819060001E-14</v>
      </c>
      <c r="AH30" s="8">
        <f t="shared" si="2"/>
        <v>0.0032675798723422653</v>
      </c>
      <c r="AI30" s="58">
        <f t="shared" si="9"/>
        <v>0.0009959704560906686</v>
      </c>
    </row>
    <row r="31" spans="4:35" ht="12.75">
      <c r="D31" s="8">
        <f>D30*'Enter data'!$C$74</f>
        <v>17.49542624567753</v>
      </c>
      <c r="E31" s="36">
        <f t="shared" si="3"/>
        <v>1.7495426245677528E-08</v>
      </c>
      <c r="G31" s="8">
        <f t="shared" si="10"/>
        <v>0.019587580969070668</v>
      </c>
      <c r="H31" s="8">
        <f t="shared" si="11"/>
        <v>0.015563448690330911</v>
      </c>
      <c r="I31" s="8">
        <f t="shared" si="12"/>
        <v>7.368067254527981E-07</v>
      </c>
      <c r="J31" s="8">
        <f t="shared" si="13"/>
        <v>8.139913447723632E-07</v>
      </c>
      <c r="K31" s="8">
        <f>'Enter data'!$C$83/D31</f>
        <v>17135476.083303064</v>
      </c>
      <c r="L31" s="8"/>
      <c r="M31" s="8">
        <f>1+(2.7182818^(-G31/2/'Enter data'!C$31))^1.6</f>
        <v>1</v>
      </c>
      <c r="N31" s="8">
        <f>1+(2.7182818^(-H31/2/'Enter data'!D$31))^1.6</f>
        <v>1</v>
      </c>
      <c r="O31" s="8">
        <f t="shared" si="4"/>
        <v>0.03596601263881604</v>
      </c>
      <c r="P31" s="8">
        <f t="shared" si="5"/>
        <v>0.02055304409247574</v>
      </c>
      <c r="Q31" s="58">
        <f>8.686*O31/2/'Enter data'!C$45</f>
        <v>0.002080135317010748</v>
      </c>
      <c r="R31" s="58">
        <f>8.686*P31/2/'Enter data'!C$45</f>
        <v>0.001188708721152395</v>
      </c>
      <c r="S31" s="58">
        <f t="shared" si="6"/>
        <v>0.0006340329544656022</v>
      </c>
      <c r="T31" s="58">
        <f t="shared" si="7"/>
        <v>0.00036232282405279046</v>
      </c>
      <c r="U31" s="36">
        <f t="shared" si="0"/>
        <v>0.056519056731291775</v>
      </c>
      <c r="V31" s="36">
        <f>U31/(2*'Enter data'!$C$45)</f>
        <v>0.00037633479601233507</v>
      </c>
      <c r="W31" s="36">
        <f t="shared" si="1"/>
        <v>0.003268798877987621</v>
      </c>
      <c r="Y31" s="8"/>
      <c r="Z31" s="8">
        <f>4*PI()^2*D31*'Enter data'!$C$82*'Enter data'!$E$14*'Enter data'!$E$15/LN('Enter data'!$C$44)</f>
        <v>8.765021557999447E-13</v>
      </c>
      <c r="AA31" s="58">
        <f>27.28753*'Enter data'!$E$14^0.5*'Enter data'!$E$15*D31/'Enter data'!$C$83</f>
        <v>2.8564546195465377E-10</v>
      </c>
      <c r="AB31" s="58">
        <f t="shared" si="14"/>
        <v>8.706579552385203E-11</v>
      </c>
      <c r="AC31" s="8"/>
      <c r="AD31" s="36">
        <f>2*PI()/'Enter data'!$E$10/LN($C$3/$C$2)</f>
        <v>4.19829126836701E-16</v>
      </c>
      <c r="AE31" s="52">
        <f>8.686*AD31*'Enter data'!$C$45/2</f>
        <v>1.3691559855720513E-13</v>
      </c>
      <c r="AF31" s="58">
        <f t="shared" si="8"/>
        <v>4.17323819060001E-14</v>
      </c>
      <c r="AH31" s="8">
        <f t="shared" si="2"/>
        <v>0.0032688443239455205</v>
      </c>
      <c r="AI31" s="58">
        <f t="shared" si="9"/>
        <v>0.0009963558656259205</v>
      </c>
    </row>
    <row r="32" spans="4:35" ht="12.75">
      <c r="D32" s="8">
        <f>D31*'Enter data'!$C$74</f>
        <v>20.703212285540165</v>
      </c>
      <c r="E32" s="36">
        <f t="shared" si="3"/>
        <v>2.0703212285540165E-08</v>
      </c>
      <c r="G32" s="8">
        <f t="shared" si="10"/>
        <v>0.01800628836541956</v>
      </c>
      <c r="H32" s="8">
        <f t="shared" si="11"/>
        <v>0.014307021654231648</v>
      </c>
      <c r="I32" s="8">
        <f t="shared" si="12"/>
        <v>7.36722554478721E-07</v>
      </c>
      <c r="J32" s="8">
        <f t="shared" si="13"/>
        <v>8.132125994817992E-07</v>
      </c>
      <c r="K32" s="8">
        <f>'Enter data'!$C$83/D32</f>
        <v>14480480.317027196</v>
      </c>
      <c r="L32" s="8"/>
      <c r="M32" s="8">
        <f>1+(2.7182818^(-G32/2/'Enter data'!C$31))^1.6</f>
        <v>1</v>
      </c>
      <c r="N32" s="8">
        <f>1+(2.7182818^(-H32/2/'Enter data'!D$31))^1.6</f>
        <v>1</v>
      </c>
      <c r="O32" s="8">
        <f t="shared" si="4"/>
        <v>0.035970121776372745</v>
      </c>
      <c r="P32" s="8">
        <f t="shared" si="5"/>
        <v>0.020572726013665804</v>
      </c>
      <c r="Q32" s="58">
        <f>8.686*O32/2/'Enter data'!C$45</f>
        <v>0.0020803729736628765</v>
      </c>
      <c r="R32" s="58">
        <f>8.686*P32/2/'Enter data'!C$45</f>
        <v>0.0011898470474880172</v>
      </c>
      <c r="S32" s="58">
        <f t="shared" si="6"/>
        <v>0.0006341053930940247</v>
      </c>
      <c r="T32" s="58">
        <f t="shared" si="7"/>
        <v>0.0003626697901389957</v>
      </c>
      <c r="U32" s="36">
        <f t="shared" si="0"/>
        <v>0.05654284779003855</v>
      </c>
      <c r="V32" s="36">
        <f>U32/(2*'Enter data'!$C$45)</f>
        <v>0.00037649320989533656</v>
      </c>
      <c r="W32" s="36">
        <f t="shared" si="1"/>
        <v>0.0032701748419657057</v>
      </c>
      <c r="Y32" s="8"/>
      <c r="Z32" s="8">
        <f>4*PI()^2*D32*'Enter data'!$C$82*'Enter data'!$E$14*'Enter data'!$E$15/LN('Enter data'!$C$44)</f>
        <v>1.0372088079159065E-12</v>
      </c>
      <c r="AA32" s="58">
        <f>27.28753*'Enter data'!$E$14^0.5*'Enter data'!$E$15*D32/'Enter data'!$C$83</f>
        <v>3.380185514891047E-10</v>
      </c>
      <c r="AB32" s="58">
        <f t="shared" si="14"/>
        <v>1.0302930733025624E-10</v>
      </c>
      <c r="AC32" s="8"/>
      <c r="AD32" s="36">
        <f>2*PI()/'Enter data'!$E$10/LN($C$3/$C$2)</f>
        <v>4.19829126836701E-16</v>
      </c>
      <c r="AE32" s="52">
        <f>8.686*AD32*'Enter data'!$C$45/2</f>
        <v>1.3691559855720513E-13</v>
      </c>
      <c r="AF32" s="58">
        <f t="shared" si="8"/>
        <v>4.17323819060001E-14</v>
      </c>
      <c r="AH32" s="8">
        <f t="shared" si="2"/>
        <v>0.0032702203593063606</v>
      </c>
      <c r="AI32" s="58">
        <f t="shared" si="9"/>
        <v>0.0009967752863040602</v>
      </c>
    </row>
    <row r="33" spans="4:35" ht="12.75">
      <c r="D33" s="8">
        <f>D32*'Enter data'!$C$74</f>
        <v>24.499145829387153</v>
      </c>
      <c r="E33" s="36">
        <f t="shared" si="3"/>
        <v>2.4499145829387153E-08</v>
      </c>
      <c r="G33" s="8">
        <f t="shared" si="10"/>
        <v>0.0165526524796812</v>
      </c>
      <c r="H33" s="8">
        <f t="shared" si="11"/>
        <v>0.013152025151200673</v>
      </c>
      <c r="I33" s="8">
        <f t="shared" si="12"/>
        <v>7.366310062366373E-07</v>
      </c>
      <c r="J33" s="8">
        <f t="shared" si="13"/>
        <v>8.12366737037538E-07</v>
      </c>
      <c r="K33" s="8">
        <f>'Enter data'!$C$83/D33</f>
        <v>12236853.484107748</v>
      </c>
      <c r="L33" s="8"/>
      <c r="M33" s="8">
        <f>1+(2.7182818^(-G33/2/'Enter data'!C$31))^1.6</f>
        <v>1</v>
      </c>
      <c r="N33" s="8">
        <f>1+(2.7182818^(-H33/2/'Enter data'!D$31))^1.6</f>
        <v>1</v>
      </c>
      <c r="O33" s="8">
        <f t="shared" si="4"/>
        <v>0.03597459213044186</v>
      </c>
      <c r="P33" s="8">
        <f t="shared" si="5"/>
        <v>0.020594146999432027</v>
      </c>
      <c r="Q33" s="58">
        <f>8.686*O33/2/'Enter data'!C$45</f>
        <v>0.002080631521683534</v>
      </c>
      <c r="R33" s="58">
        <f>8.686*P33/2/'Enter data'!C$45</f>
        <v>0.0011910859546047157</v>
      </c>
      <c r="S33" s="58">
        <f t="shared" si="6"/>
        <v>0.0006341841994890069</v>
      </c>
      <c r="T33" s="58">
        <f t="shared" si="7"/>
        <v>0.000363047413620067</v>
      </c>
      <c r="U33" s="36">
        <f t="shared" si="0"/>
        <v>0.05656873912987388</v>
      </c>
      <c r="V33" s="36">
        <f>U33/(2*'Enter data'!$C$45)</f>
        <v>0.00037666560859869324</v>
      </c>
      <c r="W33" s="36">
        <f t="shared" si="1"/>
        <v>0.0032716722764152173</v>
      </c>
      <c r="Y33" s="8"/>
      <c r="Z33" s="8">
        <f>4*PI()^2*D33*'Enter data'!$C$82*'Enter data'!$E$14*'Enter data'!$E$15/LN('Enter data'!$C$44)</f>
        <v>1.2273810213695353E-12</v>
      </c>
      <c r="AA33" s="58">
        <f>27.28753*'Enter data'!$E$14^0.5*'Enter data'!$E$15*D33/'Enter data'!$C$83</f>
        <v>3.99994245905194E-10</v>
      </c>
      <c r="AB33" s="58">
        <f t="shared" si="14"/>
        <v>1.2191972869580407E-10</v>
      </c>
      <c r="AC33" s="8"/>
      <c r="AD33" s="36">
        <f>2*PI()/'Enter data'!$E$10/LN($C$3/$C$2)</f>
        <v>4.19829126836701E-16</v>
      </c>
      <c r="AE33" s="52">
        <f>8.686*AD33*'Enter data'!$C$45/2</f>
        <v>1.3691559855720513E-13</v>
      </c>
      <c r="AF33" s="58">
        <f t="shared" si="8"/>
        <v>4.17323819060001E-14</v>
      </c>
      <c r="AH33" s="8">
        <f t="shared" si="2"/>
        <v>0.0032717178764194114</v>
      </c>
      <c r="AI33" s="58">
        <f t="shared" si="9"/>
        <v>0.000997231735070535</v>
      </c>
    </row>
    <row r="34" spans="4:35" ht="12.75">
      <c r="D34" s="8">
        <f>D33*'Enter data'!$C$74</f>
        <v>28.991063709895105</v>
      </c>
      <c r="E34" s="36">
        <f t="shared" si="3"/>
        <v>2.8991063709895105E-08</v>
      </c>
      <c r="G34" s="8">
        <f t="shared" si="10"/>
        <v>0.015216367668491016</v>
      </c>
      <c r="H34" s="8">
        <f t="shared" si="11"/>
        <v>0.012090270760627058</v>
      </c>
      <c r="I34" s="8">
        <f t="shared" si="12"/>
        <v>7.365314355248062E-07</v>
      </c>
      <c r="J34" s="8">
        <f t="shared" si="13"/>
        <v>8.114480935646774E-07</v>
      </c>
      <c r="K34" s="8">
        <f>'Enter data'!$C$83/D34</f>
        <v>10340857.479392042</v>
      </c>
      <c r="L34" s="8"/>
      <c r="M34" s="8">
        <f>1+(2.7182818^(-G34/2/'Enter data'!C$31))^1.6</f>
        <v>1</v>
      </c>
      <c r="N34" s="8">
        <f>1+(2.7182818^(-H34/2/'Enter data'!D$31))^1.6</f>
        <v>1</v>
      </c>
      <c r="O34" s="8">
        <f t="shared" si="4"/>
        <v>0.03597945548803054</v>
      </c>
      <c r="P34" s="8">
        <f t="shared" si="5"/>
        <v>0.020617461711574674</v>
      </c>
      <c r="Q34" s="58">
        <f>8.686*O34/2/'Enter data'!C$45</f>
        <v>0.002080912799510494</v>
      </c>
      <c r="R34" s="58">
        <f>8.686*P34/2/'Enter data'!C$45</f>
        <v>0.0011924343875439158</v>
      </c>
      <c r="S34" s="58">
        <f t="shared" si="6"/>
        <v>0.0006342699340131962</v>
      </c>
      <c r="T34" s="58">
        <f t="shared" si="7"/>
        <v>0.00036345842097778463</v>
      </c>
      <c r="U34" s="36">
        <f t="shared" si="0"/>
        <v>0.05659691719960522</v>
      </c>
      <c r="V34" s="36">
        <f>U34/(2*'Enter data'!$C$45)</f>
        <v>0.00037685323360055374</v>
      </c>
      <c r="W34" s="36">
        <f t="shared" si="1"/>
        <v>0.0032733019646663773</v>
      </c>
      <c r="Y34" s="8"/>
      <c r="Z34" s="8">
        <f>4*PI()^2*D34*'Enter data'!$C$82*'Enter data'!$E$14*'Enter data'!$E$15/LN('Enter data'!$C$44)</f>
        <v>1.452421306221942E-12</v>
      </c>
      <c r="AA34" s="58">
        <f>27.28753*'Enter data'!$E$14^0.5*'Enter data'!$E$15*D34/'Enter data'!$C$83</f>
        <v>4.733331826091264E-10</v>
      </c>
      <c r="AB34" s="58">
        <f t="shared" si="14"/>
        <v>1.4427370842755622E-10</v>
      </c>
      <c r="AC34" s="8"/>
      <c r="AD34" s="36">
        <f>2*PI()/'Enter data'!$E$10/LN($C$3/$C$2)</f>
        <v>4.19829126836701E-16</v>
      </c>
      <c r="AE34" s="52">
        <f>8.686*AD34*'Enter data'!$C$45/2</f>
        <v>1.3691559855720513E-13</v>
      </c>
      <c r="AF34" s="58">
        <f t="shared" si="8"/>
        <v>4.17323819060001E-14</v>
      </c>
      <c r="AH34" s="8">
        <f t="shared" si="2"/>
        <v>0.003273347660524508</v>
      </c>
      <c r="AI34" s="58">
        <f t="shared" si="9"/>
        <v>0.0009977284993064215</v>
      </c>
    </row>
    <row r="35" spans="4:35" ht="12.75">
      <c r="D35" s="8">
        <f>D34*'Enter data'!$C$74</f>
        <v>34.30657464077888</v>
      </c>
      <c r="E35" s="36">
        <f t="shared" si="3"/>
        <v>3.430657464077888E-08</v>
      </c>
      <c r="G35" s="8">
        <f t="shared" si="10"/>
        <v>0.013987960256334583</v>
      </c>
      <c r="H35" s="8">
        <f t="shared" si="11"/>
        <v>0.011114231107741535</v>
      </c>
      <c r="I35" s="8">
        <f t="shared" si="12"/>
        <v>7.364231409665255E-07</v>
      </c>
      <c r="J35" s="8">
        <f t="shared" si="13"/>
        <v>8.10450549208251E-07</v>
      </c>
      <c r="K35" s="8">
        <f>'Enter data'!$C$83/D35</f>
        <v>8738629.873110343</v>
      </c>
      <c r="L35" s="8"/>
      <c r="M35" s="8">
        <f>1+(2.7182818^(-G35/2/'Enter data'!C$31))^1.6</f>
        <v>1</v>
      </c>
      <c r="N35" s="8">
        <f>1+(2.7182818^(-H35/2/'Enter data'!D$31))^1.6</f>
        <v>1</v>
      </c>
      <c r="O35" s="8">
        <f t="shared" si="4"/>
        <v>0.03598474643968931</v>
      </c>
      <c r="P35" s="8">
        <f t="shared" si="5"/>
        <v>0.020642838747341154</v>
      </c>
      <c r="Q35" s="58">
        <f>8.686*O35/2/'Enter data'!C$45</f>
        <v>0.0020812188077276553</v>
      </c>
      <c r="R35" s="58">
        <f>8.686*P35/2/'Enter data'!C$45</f>
        <v>0.0011939020973195035</v>
      </c>
      <c r="S35" s="58">
        <f t="shared" si="6"/>
        <v>0.0006343632064519797</v>
      </c>
      <c r="T35" s="58">
        <f t="shared" si="7"/>
        <v>0.00036390578435732245</v>
      </c>
      <c r="U35" s="36">
        <f t="shared" si="0"/>
        <v>0.05662758518703047</v>
      </c>
      <c r="V35" s="36">
        <f>U35/(2*'Enter data'!$C$45)</f>
        <v>0.0003770574378364217</v>
      </c>
      <c r="W35" s="36">
        <f t="shared" si="1"/>
        <v>0.003275075658154618</v>
      </c>
      <c r="Y35" s="8"/>
      <c r="Z35" s="8">
        <f>4*PI()^2*D35*'Enter data'!$C$82*'Enter data'!$E$14*'Enter data'!$E$15/LN('Enter data'!$C$44)</f>
        <v>1.7187227226420693E-12</v>
      </c>
      <c r="AA35" s="58">
        <f>27.28753*'Enter data'!$E$14^0.5*'Enter data'!$E$15*D35/'Enter data'!$C$83</f>
        <v>5.601188118390764E-10</v>
      </c>
      <c r="AB35" s="58">
        <f t="shared" si="14"/>
        <v>1.7072628988023545E-10</v>
      </c>
      <c r="AC35" s="8"/>
      <c r="AD35" s="36">
        <f>2*PI()/'Enter data'!$E$10/LN($C$3/$C$2)</f>
        <v>4.19829126836701E-16</v>
      </c>
      <c r="AE35" s="52">
        <f>8.686*AD35*'Enter data'!$C$45/2</f>
        <v>1.3691559855720513E-13</v>
      </c>
      <c r="AF35" s="58">
        <f t="shared" si="8"/>
        <v>4.17323819060001E-14</v>
      </c>
      <c r="AH35" s="8">
        <f t="shared" si="2"/>
        <v>0.0032751214653028867</v>
      </c>
      <c r="AI35" s="58">
        <f t="shared" si="9"/>
        <v>0.0009982691615773246</v>
      </c>
    </row>
    <row r="36" spans="4:35" ht="12.75">
      <c r="D36" s="8">
        <f>D35*'Enter data'!$C$74</f>
        <v>40.59668439077052</v>
      </c>
      <c r="E36" s="36">
        <f t="shared" si="3"/>
        <v>4.059668439077052E-08</v>
      </c>
      <c r="G36" s="8">
        <f t="shared" si="10"/>
        <v>0.012858721371327082</v>
      </c>
      <c r="H36" s="8">
        <f t="shared" si="11"/>
        <v>0.010216986497817935</v>
      </c>
      <c r="I36" s="8">
        <f t="shared" si="12"/>
        <v>7.363053601698601E-07</v>
      </c>
      <c r="J36" s="8">
        <f t="shared" si="13"/>
        <v>8.093674954562262E-07</v>
      </c>
      <c r="K36" s="8">
        <f>'Enter data'!$C$83/D36</f>
        <v>7384653.759265043</v>
      </c>
      <c r="L36" s="8"/>
      <c r="M36" s="8">
        <f>1+(2.7182818^(-G36/2/'Enter data'!C$31))^1.6</f>
        <v>1</v>
      </c>
      <c r="N36" s="8">
        <f>1+(2.7182818^(-H36/2/'Enter data'!D$31))^1.6</f>
        <v>1</v>
      </c>
      <c r="O36" s="8">
        <f t="shared" si="4"/>
        <v>0.035990502627723166</v>
      </c>
      <c r="P36" s="8">
        <f t="shared" si="5"/>
        <v>0.02067046192727272</v>
      </c>
      <c r="Q36" s="58">
        <f>8.686*O36/2/'Enter data'!C$45</f>
        <v>0.002081551723420613</v>
      </c>
      <c r="R36" s="58">
        <f>8.686*P36/2/'Enter data'!C$45</f>
        <v>0.0011954997154019088</v>
      </c>
      <c r="S36" s="58">
        <f t="shared" si="6"/>
        <v>0.0006344646803891163</v>
      </c>
      <c r="T36" s="58">
        <f t="shared" si="7"/>
        <v>0.0003643927442702721</v>
      </c>
      <c r="U36" s="36">
        <f t="shared" si="0"/>
        <v>0.05666096455499589</v>
      </c>
      <c r="V36" s="36">
        <f>U36/(2*'Enter data'!$C$45)</f>
        <v>0.00037727969592706907</v>
      </c>
      <c r="W36" s="36">
        <f t="shared" si="1"/>
        <v>0.0032770061652590103</v>
      </c>
      <c r="Y36" s="8"/>
      <c r="Z36" s="8">
        <f>4*PI()^2*D36*'Enter data'!$C$82*'Enter data'!$E$14*'Enter data'!$E$15/LN('Enter data'!$C$44)</f>
        <v>2.0338504982484545E-12</v>
      </c>
      <c r="AA36" s="58">
        <f>27.28753*'Enter data'!$E$14^0.5*'Enter data'!$E$15*D36/'Enter data'!$C$83</f>
        <v>6.628165843912453E-10</v>
      </c>
      <c r="AB36" s="58">
        <f t="shared" si="14"/>
        <v>2.0202895159450295E-10</v>
      </c>
      <c r="AC36" s="8"/>
      <c r="AD36" s="36">
        <f>2*PI()/'Enter data'!$E$10/LN($C$3/$C$2)</f>
        <v>4.19829126836701E-16</v>
      </c>
      <c r="AE36" s="52">
        <f>8.686*AD36*'Enter data'!$C$45/2</f>
        <v>1.3691559855720513E-13</v>
      </c>
      <c r="AF36" s="58">
        <f t="shared" si="8"/>
        <v>4.17323819060001E-14</v>
      </c>
      <c r="AH36" s="8">
        <f t="shared" si="2"/>
        <v>0.003277052101776022</v>
      </c>
      <c r="AI36" s="58">
        <f t="shared" si="9"/>
        <v>0.0009988576267300725</v>
      </c>
    </row>
    <row r="37" spans="4:35" ht="12.75">
      <c r="D37" s="8">
        <f>D36*'Enter data'!$C$74</f>
        <v>48.0400856331722</v>
      </c>
      <c r="E37" s="36">
        <f t="shared" si="3"/>
        <v>4.80400856331722E-08</v>
      </c>
      <c r="G37" s="8">
        <f t="shared" si="10"/>
        <v>0.01182064520311637</v>
      </c>
      <c r="H37" s="8">
        <f t="shared" si="11"/>
        <v>0.009392175858560666</v>
      </c>
      <c r="I37" s="8">
        <f t="shared" si="12"/>
        <v>7.361772644691452E-07</v>
      </c>
      <c r="J37" s="8">
        <f t="shared" si="13"/>
        <v>8.081918008767701E-07</v>
      </c>
      <c r="K37" s="8">
        <f>'Enter data'!$C$83/D37</f>
        <v>6240464.687951973</v>
      </c>
      <c r="L37" s="8"/>
      <c r="M37" s="8">
        <f>1+(2.7182818^(-G37/2/'Enter data'!C$31))^1.6</f>
        <v>1</v>
      </c>
      <c r="N37" s="8">
        <f>1+(2.7182818^(-H37/2/'Enter data'!D$31))^1.6</f>
        <v>1</v>
      </c>
      <c r="O37" s="8">
        <f t="shared" si="4"/>
        <v>0.035996765017062914</v>
      </c>
      <c r="P37" s="8">
        <f t="shared" si="5"/>
        <v>0.020700531707758475</v>
      </c>
      <c r="Q37" s="58">
        <f>8.686*O37/2/'Enter data'!C$45</f>
        <v>0.0020819139158428117</v>
      </c>
      <c r="R37" s="58">
        <f>8.686*P37/2/'Enter data'!C$45</f>
        <v>0.0011972388354147753</v>
      </c>
      <c r="S37" s="58">
        <f t="shared" si="6"/>
        <v>0.0006345750779818372</v>
      </c>
      <c r="T37" s="58">
        <f t="shared" si="7"/>
        <v>0.000364922834496091</v>
      </c>
      <c r="U37" s="36">
        <f t="shared" si="0"/>
        <v>0.05669729672482139</v>
      </c>
      <c r="V37" s="36">
        <f>U37/(2*'Enter data'!$C$45)</f>
        <v>0.0003775216153877029</v>
      </c>
      <c r="W37" s="36">
        <f t="shared" si="1"/>
        <v>0.0032791074486637406</v>
      </c>
      <c r="Y37" s="8"/>
      <c r="Z37" s="8">
        <f>4*PI()^2*D37*'Enter data'!$C$82*'Enter data'!$E$14*'Enter data'!$E$15/LN('Enter data'!$C$44)</f>
        <v>2.406756944986837E-12</v>
      </c>
      <c r="AA37" s="58">
        <f>27.28753*'Enter data'!$E$14^0.5*'Enter data'!$E$15*D37/'Enter data'!$C$83</f>
        <v>7.843439914142648E-10</v>
      </c>
      <c r="AB37" s="58">
        <f t="shared" si="14"/>
        <v>2.3907095568588906E-10</v>
      </c>
      <c r="AC37" s="8"/>
      <c r="AD37" s="36">
        <f>2*PI()/'Enter data'!$E$10/LN($C$3/$C$2)</f>
        <v>4.19829126836701E-16</v>
      </c>
      <c r="AE37" s="52">
        <f>8.686*AD37*'Enter data'!$C$45/2</f>
        <v>1.3691559855720513E-13</v>
      </c>
      <c r="AF37" s="58">
        <f t="shared" si="8"/>
        <v>4.17323819060001E-14</v>
      </c>
      <c r="AH37" s="8">
        <f t="shared" si="2"/>
        <v>0.003279153535738494</v>
      </c>
      <c r="AI37" s="58">
        <f t="shared" si="9"/>
        <v>0.0009994981515906163</v>
      </c>
    </row>
    <row r="38" spans="4:35" ht="12.75">
      <c r="D38" s="8">
        <f>D37*'Enter data'!$C$74</f>
        <v>56.84823433923577</v>
      </c>
      <c r="E38" s="36">
        <f t="shared" si="3"/>
        <v>5.684823433923577E-08</v>
      </c>
      <c r="G38" s="8">
        <f t="shared" si="10"/>
        <v>0.010866372245185177</v>
      </c>
      <c r="H38" s="8">
        <f t="shared" si="11"/>
        <v>0.008633951642881157</v>
      </c>
      <c r="I38" s="8">
        <f t="shared" si="12"/>
        <v>7.360379532337669E-07</v>
      </c>
      <c r="J38" s="8">
        <f t="shared" si="13"/>
        <v>8.069157753514148E-07</v>
      </c>
      <c r="K38" s="8">
        <f>'Enter data'!$C$83/D38</f>
        <v>5273557.947482071</v>
      </c>
      <c r="L38" s="8"/>
      <c r="M38" s="8">
        <f>1+(2.7182818^(-G38/2/'Enter data'!C$31))^1.6</f>
        <v>1</v>
      </c>
      <c r="N38" s="8">
        <f>1+(2.7182818^(-H38/2/'Enter data'!D$31))^1.6</f>
        <v>1</v>
      </c>
      <c r="O38" s="8">
        <f t="shared" si="4"/>
        <v>0.03600357818991918</v>
      </c>
      <c r="P38" s="8">
        <f t="shared" si="5"/>
        <v>0.020733266731232297</v>
      </c>
      <c r="Q38" s="58">
        <f>8.686*O38/2/'Enter data'!C$45</f>
        <v>0.0020823079634571954</v>
      </c>
      <c r="R38" s="58">
        <f>8.686*P38/2/'Enter data'!C$45</f>
        <v>0.0011991321027923657</v>
      </c>
      <c r="S38" s="58">
        <f t="shared" si="6"/>
        <v>0.0006346951851552047</v>
      </c>
      <c r="T38" s="58">
        <f t="shared" si="7"/>
        <v>0.00036549990941001147</v>
      </c>
      <c r="U38" s="36">
        <f t="shared" si="0"/>
        <v>0.056736844921151476</v>
      </c>
      <c r="V38" s="36">
        <f>U38/(2*'Enter data'!$C$45)</f>
        <v>0.00037778494891199183</v>
      </c>
      <c r="W38" s="36">
        <f t="shared" si="1"/>
        <v>0.0032813947320556912</v>
      </c>
      <c r="Y38" s="8"/>
      <c r="Z38" s="8">
        <f>4*PI()^2*D38*'Enter data'!$C$82*'Enter data'!$E$14*'Enter data'!$E$15/LN('Enter data'!$C$44)</f>
        <v>2.848035781012832E-12</v>
      </c>
      <c r="AA38" s="58">
        <f>27.28753*'Enter data'!$E$14^0.5*'Enter data'!$E$15*D38/'Enter data'!$C$83</f>
        <v>9.281534459984552E-10</v>
      </c>
      <c r="AB38" s="58">
        <f t="shared" si="14"/>
        <v>2.8290461046039233E-10</v>
      </c>
      <c r="AC38" s="8"/>
      <c r="AD38" s="36">
        <f>2*PI()/'Enter data'!$E$10/LN($C$3/$C$2)</f>
        <v>4.19829126836701E-16</v>
      </c>
      <c r="AE38" s="52">
        <f>8.686*AD38*'Enter data'!$C$45/2</f>
        <v>1.3691559855720513E-13</v>
      </c>
      <c r="AF38" s="58">
        <f t="shared" si="8"/>
        <v>4.17323819060001E-14</v>
      </c>
      <c r="AH38" s="8">
        <f t="shared" si="2"/>
        <v>0.0032814409945399227</v>
      </c>
      <c r="AI38" s="58">
        <f t="shared" si="9"/>
        <v>0.0010001953775115589</v>
      </c>
    </row>
    <row r="39" spans="4:35" ht="12.75">
      <c r="D39" s="8">
        <f>D38*'Enter data'!$C$74</f>
        <v>67.27135692816348</v>
      </c>
      <c r="E39" s="36">
        <f t="shared" si="3"/>
        <v>6.727135692816349E-08</v>
      </c>
      <c r="G39" s="8">
        <f t="shared" si="10"/>
        <v>0.009989137119165109</v>
      </c>
      <c r="H39" s="8">
        <f t="shared" si="11"/>
        <v>0.007936938372343695</v>
      </c>
      <c r="I39" s="8">
        <f t="shared" si="12"/>
        <v>7.358864476932939E-07</v>
      </c>
      <c r="J39" s="8">
        <f t="shared" si="13"/>
        <v>8.055311329241827E-07</v>
      </c>
      <c r="K39" s="8">
        <f>'Enter data'!$C$83/D39</f>
        <v>4456465.153811851</v>
      </c>
      <c r="L39" s="8"/>
      <c r="M39" s="8">
        <f>1+(2.7182818^(-G39/2/'Enter data'!C$31))^1.6</f>
        <v>1</v>
      </c>
      <c r="N39" s="8">
        <f>1+(2.7182818^(-H39/2/'Enter data'!D$31))^1.6</f>
        <v>1</v>
      </c>
      <c r="O39" s="8">
        <f t="shared" si="4"/>
        <v>0.036010990667197054</v>
      </c>
      <c r="P39" s="8">
        <f t="shared" si="5"/>
        <v>0.020768905528539817</v>
      </c>
      <c r="Q39" s="58">
        <f>8.686*O39/2/'Enter data'!C$45</f>
        <v>0.0020827366725255894</v>
      </c>
      <c r="R39" s="58">
        <f>8.686*P39/2/'Enter data'!C$45</f>
        <v>0.001201193313237895</v>
      </c>
      <c r="S39" s="58">
        <f t="shared" si="6"/>
        <v>0.000634825857268224</v>
      </c>
      <c r="T39" s="58">
        <f t="shared" si="7"/>
        <v>0.00036612817399350614</v>
      </c>
      <c r="U39" s="36">
        <f t="shared" si="0"/>
        <v>0.05677989619573687</v>
      </c>
      <c r="V39" s="36">
        <f>U39/(2*'Enter data'!$C$45)</f>
        <v>0.0003780716078475114</v>
      </c>
      <c r="W39" s="36">
        <f t="shared" si="1"/>
        <v>0.003283884617170542</v>
      </c>
      <c r="Y39" s="8"/>
      <c r="Z39" s="8">
        <f>4*PI()^2*D39*'Enter data'!$C$82*'Enter data'!$E$14*'Enter data'!$E$15/LN('Enter data'!$C$44)</f>
        <v>3.370223082486517E-12</v>
      </c>
      <c r="AA39" s="58">
        <f>27.28753*'Enter data'!$E$14^0.5*'Enter data'!$E$15*D39/'Enter data'!$C$83</f>
        <v>1.0983303611027573E-09</v>
      </c>
      <c r="AB39" s="58">
        <f t="shared" si="14"/>
        <v>3.3477516493012596E-10</v>
      </c>
      <c r="AC39" s="8"/>
      <c r="AD39" s="36">
        <f>2*PI()/'Enter data'!$E$10/LN($C$3/$C$2)</f>
        <v>4.19829126836701E-16</v>
      </c>
      <c r="AE39" s="52">
        <f>8.686*AD39*'Enter data'!$C$45/2</f>
        <v>1.3691559855720513E-13</v>
      </c>
      <c r="AF39" s="58">
        <f t="shared" si="8"/>
        <v>4.17323819060001E-14</v>
      </c>
      <c r="AH39" s="8">
        <f t="shared" si="2"/>
        <v>0.003283931084230761</v>
      </c>
      <c r="AI39" s="58">
        <f t="shared" si="9"/>
        <v>0.0010009543660786276</v>
      </c>
    </row>
    <row r="40" spans="4:35" ht="12.75">
      <c r="D40" s="8">
        <f>D39*'Enter data'!$C$74</f>
        <v>79.60555882793678</v>
      </c>
      <c r="E40" s="36">
        <f t="shared" si="3"/>
        <v>7.960555882793678E-08</v>
      </c>
      <c r="G40" s="8">
        <f t="shared" si="10"/>
        <v>0.009182720611259694</v>
      </c>
      <c r="H40" s="8">
        <f t="shared" si="11"/>
        <v>0.007296194527371745</v>
      </c>
      <c r="I40" s="8">
        <f t="shared" si="12"/>
        <v>7.357216842500713E-07</v>
      </c>
      <c r="J40" s="8">
        <f t="shared" si="13"/>
        <v>8.04028953436862E-07</v>
      </c>
      <c r="K40" s="8">
        <f>'Enter data'!$C$83/D40</f>
        <v>3765973.9145602332</v>
      </c>
      <c r="L40" s="8"/>
      <c r="M40" s="8">
        <f>1+(2.7182818^(-G40/2/'Enter data'!C$31))^1.6</f>
        <v>1</v>
      </c>
      <c r="N40" s="8">
        <f>1+(2.7182818^(-H40/2/'Enter data'!D$31))^1.6</f>
        <v>1</v>
      </c>
      <c r="O40" s="8">
        <f t="shared" si="4"/>
        <v>0.03601905525866309</v>
      </c>
      <c r="P40" s="8">
        <f t="shared" si="5"/>
        <v>0.02080770838971256</v>
      </c>
      <c r="Q40" s="58">
        <f>8.686*O40/2/'Enter data'!C$45</f>
        <v>0.0020832030973610095</v>
      </c>
      <c r="R40" s="58">
        <f>8.686*P40/2/'Enter data'!C$45</f>
        <v>0.001203437520921884</v>
      </c>
      <c r="S40" s="58">
        <f t="shared" si="6"/>
        <v>0.0006349680252868232</v>
      </c>
      <c r="T40" s="58">
        <f t="shared" si="7"/>
        <v>0.0003668122168135467</v>
      </c>
      <c r="U40" s="36">
        <f t="shared" si="0"/>
        <v>0.05682676364837565</v>
      </c>
      <c r="V40" s="36">
        <f>U40/(2*'Enter data'!$C$45)</f>
        <v>0.00037838367698398497</v>
      </c>
      <c r="W40" s="36">
        <f t="shared" si="1"/>
        <v>0.003286595212241655</v>
      </c>
      <c r="Y40" s="8"/>
      <c r="Z40" s="8">
        <f>4*PI()^2*D40*'Enter data'!$C$82*'Enter data'!$E$14*'Enter data'!$E$15/LN('Enter data'!$C$44)</f>
        <v>3.988153414872335E-12</v>
      </c>
      <c r="AA40" s="58">
        <f>27.28753*'Enter data'!$E$14^0.5*'Enter data'!$E$15*D40/'Enter data'!$C$83</f>
        <v>1.2997092100675354E-09</v>
      </c>
      <c r="AB40" s="58">
        <f t="shared" si="14"/>
        <v>3.961561844877881E-10</v>
      </c>
      <c r="AC40" s="8"/>
      <c r="AD40" s="36">
        <f>2*PI()/'Enter data'!$E$10/LN($C$3/$C$2)</f>
        <v>4.19829126836701E-16</v>
      </c>
      <c r="AE40" s="52">
        <f>8.686*AD40*'Enter data'!$C$45/2</f>
        <v>1.3691559855720513E-13</v>
      </c>
      <c r="AF40" s="58">
        <f t="shared" si="8"/>
        <v>4.17323819060001E-14</v>
      </c>
      <c r="AH40" s="8">
        <f t="shared" si="2"/>
        <v>0.0032866419181290193</v>
      </c>
      <c r="AI40" s="58">
        <f t="shared" si="9"/>
        <v>0.0010017806382982867</v>
      </c>
    </row>
    <row r="41" spans="4:35" ht="12.75">
      <c r="D41" s="8">
        <f>D40*'Enter data'!$C$74</f>
        <v>94.20123639062598</v>
      </c>
      <c r="E41" s="36">
        <f t="shared" si="3"/>
        <v>9.420123639062598E-08</v>
      </c>
      <c r="G41" s="8">
        <f t="shared" si="10"/>
        <v>0.008441405580735613</v>
      </c>
      <c r="H41" s="8">
        <f t="shared" si="11"/>
        <v>0.006707177514033011</v>
      </c>
      <c r="I41" s="8">
        <f t="shared" si="12"/>
        <v>7.355425072355676E-07</v>
      </c>
      <c r="J41" s="8">
        <f t="shared" si="13"/>
        <v>8.023996431838061E-07</v>
      </c>
      <c r="K41" s="8">
        <f>'Enter data'!$C$83/D41</f>
        <v>3182468.399425727</v>
      </c>
      <c r="L41" s="8"/>
      <c r="M41" s="8">
        <f>1+(2.7182818^(-G41/2/'Enter data'!C$31))^1.6</f>
        <v>1</v>
      </c>
      <c r="N41" s="8">
        <f>1+(2.7182818^(-H41/2/'Enter data'!D$31))^1.6</f>
        <v>1</v>
      </c>
      <c r="O41" s="8">
        <f t="shared" si="4"/>
        <v>0.03602782944468634</v>
      </c>
      <c r="P41" s="8">
        <f t="shared" si="5"/>
        <v>0.02084995942124024</v>
      </c>
      <c r="Q41" s="58">
        <f>8.686*O41/2/'Enter data'!C$45</f>
        <v>0.002083710562406086</v>
      </c>
      <c r="R41" s="58">
        <f>8.686*P41/2/'Enter data'!C$45</f>
        <v>0.0012058811574668486</v>
      </c>
      <c r="S41" s="58">
        <f t="shared" si="6"/>
        <v>0.0006351227025134375</v>
      </c>
      <c r="T41" s="58">
        <f t="shared" si="7"/>
        <v>0.0003675570462895783</v>
      </c>
      <c r="U41" s="36">
        <f t="shared" si="0"/>
        <v>0.05687778886592658</v>
      </c>
      <c r="V41" s="36">
        <f>U41/(2*'Enter data'!$C$45)</f>
        <v>0.0003787234307935683</v>
      </c>
      <c r="W41" s="36">
        <f t="shared" si="1"/>
        <v>0.003289546273061239</v>
      </c>
      <c r="Y41" s="8"/>
      <c r="Z41" s="8">
        <f>4*PI()^2*D41*'Enter data'!$C$82*'Enter data'!$E$14*'Enter data'!$E$15/LN('Enter data'!$C$44)</f>
        <v>4.719381260905446E-12</v>
      </c>
      <c r="AA41" s="58">
        <f>27.28753*'Enter data'!$E$14^0.5*'Enter data'!$E$15*D41/'Enter data'!$C$83</f>
        <v>1.5380108668200014E-09</v>
      </c>
      <c r="AB41" s="58">
        <f t="shared" si="14"/>
        <v>4.687914127103149E-10</v>
      </c>
      <c r="AC41" s="8"/>
      <c r="AD41" s="36">
        <f>2*PI()/'Enter data'!$E$10/LN($C$3/$C$2)</f>
        <v>4.19829126836701E-16</v>
      </c>
      <c r="AE41" s="52">
        <f>8.686*AD41*'Enter data'!$C$45/2</f>
        <v>1.3691559855720513E-13</v>
      </c>
      <c r="AF41" s="58">
        <f t="shared" si="8"/>
        <v>4.17323819060001E-14</v>
      </c>
      <c r="AH41" s="8">
        <f t="shared" si="2"/>
        <v>0.0032895932580207167</v>
      </c>
      <c r="AI41" s="58">
        <f t="shared" si="9"/>
        <v>0.0010026802176361608</v>
      </c>
    </row>
    <row r="42" spans="4:35" ht="12.75">
      <c r="D42" s="8">
        <f>D41*'Enter data'!$C$74</f>
        <v>111.47303113219776</v>
      </c>
      <c r="E42" s="36">
        <f t="shared" si="3"/>
        <v>1.1147303113219776E-07</v>
      </c>
      <c r="G42" s="8">
        <f t="shared" si="10"/>
        <v>0.007759936427892607</v>
      </c>
      <c r="H42" s="8">
        <f t="shared" si="11"/>
        <v>0.00616571145903303</v>
      </c>
      <c r="I42" s="8">
        <f t="shared" si="12"/>
        <v>7.353476610679412E-07</v>
      </c>
      <c r="J42" s="8">
        <f t="shared" si="13"/>
        <v>8.006328948892065E-07</v>
      </c>
      <c r="K42" s="8">
        <f>'Enter data'!$C$83/D42</f>
        <v>2689372.083589178</v>
      </c>
      <c r="L42" s="8"/>
      <c r="M42" s="8">
        <f>1+(2.7182818^(-G42/2/'Enter data'!C$31))^1.6</f>
        <v>1</v>
      </c>
      <c r="N42" s="8">
        <f>1+(2.7182818^(-H42/2/'Enter data'!D$31))^1.6</f>
        <v>1</v>
      </c>
      <c r="O42" s="8">
        <f t="shared" si="4"/>
        <v>0.03603737579244381</v>
      </c>
      <c r="P42" s="8">
        <f t="shared" si="5"/>
        <v>0.020895968810168784</v>
      </c>
      <c r="Q42" s="58">
        <f>8.686*O42/2/'Enter data'!C$45</f>
        <v>0.0020842626863047846</v>
      </c>
      <c r="R42" s="58">
        <f>8.686*P42/2/'Enter data'!C$45</f>
        <v>0.0012085421628939851</v>
      </c>
      <c r="S42" s="58">
        <f t="shared" si="6"/>
        <v>0.0006352909919241602</v>
      </c>
      <c r="T42" s="58">
        <f t="shared" si="7"/>
        <v>0.0003683681306065548</v>
      </c>
      <c r="U42" s="36">
        <f t="shared" si="0"/>
        <v>0.056933344602612596</v>
      </c>
      <c r="V42" s="36">
        <f>U42/(2*'Enter data'!$C$45)</f>
        <v>0.00037909335127777683</v>
      </c>
      <c r="W42" s="36">
        <f t="shared" si="1"/>
        <v>0.003292759357996616</v>
      </c>
      <c r="Y42" s="8"/>
      <c r="Z42" s="8">
        <f>4*PI()^2*D42*'Enter data'!$C$82*'Enter data'!$E$14*'Enter data'!$E$15/LN('Enter data'!$C$44)</f>
        <v>5.584679717367006E-12</v>
      </c>
      <c r="AA42" s="58">
        <f>27.28753*'Enter data'!$E$14^0.5*'Enter data'!$E$15*D42/'Enter data'!$C$83</f>
        <v>1.820005127403458E-09</v>
      </c>
      <c r="AB42" s="58">
        <f t="shared" si="14"/>
        <v>5.547443085233656E-10</v>
      </c>
      <c r="AC42" s="8"/>
      <c r="AD42" s="36">
        <f>2*PI()/'Enter data'!$E$10/LN($C$3/$C$2)</f>
        <v>4.19829126836701E-16</v>
      </c>
      <c r="AE42" s="52">
        <f>8.686*AD42*'Enter data'!$C$45/2</f>
        <v>1.3691559855720513E-13</v>
      </c>
      <c r="AF42" s="58">
        <f t="shared" si="8"/>
        <v>4.17323819060001E-14</v>
      </c>
      <c r="AH42" s="8">
        <f t="shared" si="2"/>
        <v>0.003292806669340813</v>
      </c>
      <c r="AI42" s="58">
        <f t="shared" si="9"/>
        <v>0.001003659677316756</v>
      </c>
    </row>
    <row r="43" spans="4:35" ht="12.75">
      <c r="D43" s="8">
        <f>D42*'Enter data'!$C$74</f>
        <v>131.91160908198518</v>
      </c>
      <c r="E43" s="36">
        <f t="shared" si="3"/>
        <v>1.3191160908198517E-07</v>
      </c>
      <c r="G43" s="8">
        <f t="shared" si="10"/>
        <v>0.007133481834157669</v>
      </c>
      <c r="H43" s="8">
        <f t="shared" si="11"/>
        <v>0.005667957604597865</v>
      </c>
      <c r="I43" s="8">
        <f t="shared" si="12"/>
        <v>7.351357817647285E-07</v>
      </c>
      <c r="J43" s="8">
        <f t="shared" si="13"/>
        <v>7.987176473972712E-07</v>
      </c>
      <c r="K43" s="8">
        <f>'Enter data'!$C$83/D43</f>
        <v>2272676.8332700287</v>
      </c>
      <c r="L43" s="8"/>
      <c r="M43" s="8">
        <f>1+(2.7182818^(-G43/2/'Enter data'!C$31))^1.6</f>
        <v>1</v>
      </c>
      <c r="N43" s="8">
        <f>1+(2.7182818^(-H43/2/'Enter data'!D$31))^1.6</f>
        <v>1</v>
      </c>
      <c r="O43" s="8">
        <f t="shared" si="4"/>
        <v>0.036047762409803376</v>
      </c>
      <c r="P43" s="8">
        <f t="shared" si="5"/>
        <v>0.02094607531775084</v>
      </c>
      <c r="Q43" s="58">
        <f>8.686*O43/2/'Enter data'!C$45</f>
        <v>0.0020848634081532384</v>
      </c>
      <c r="R43" s="58">
        <f>8.686*P43/2/'Enter data'!C$45</f>
        <v>0.0012114401298462909</v>
      </c>
      <c r="S43" s="58">
        <f t="shared" si="6"/>
        <v>0.0006354740941700921</v>
      </c>
      <c r="T43" s="58">
        <f t="shared" si="7"/>
        <v>0.0003692514416746802</v>
      </c>
      <c r="U43" s="36">
        <f t="shared" si="0"/>
        <v>0.05699383772755422</v>
      </c>
      <c r="V43" s="36">
        <f>U43/(2*'Enter data'!$C$45)</f>
        <v>0.000379496147593775</v>
      </c>
      <c r="W43" s="36">
        <f t="shared" si="1"/>
        <v>0.003296257998461818</v>
      </c>
      <c r="Y43" s="8"/>
      <c r="Z43" s="8">
        <f>4*PI()^2*D43*'Enter data'!$C$82*'Enter data'!$E$14*'Enter data'!$E$15/LN('Enter data'!$C$44)</f>
        <v>6.608630627902832E-12</v>
      </c>
      <c r="AA43" s="58">
        <f>27.28753*'Enter data'!$E$14^0.5*'Enter data'!$E$15*D43/'Enter data'!$C$83</f>
        <v>2.1537030298255623E-09</v>
      </c>
      <c r="AB43" s="58">
        <f t="shared" si="14"/>
        <v>6.564566660038899E-10</v>
      </c>
      <c r="AC43" s="8"/>
      <c r="AD43" s="36">
        <f>2*PI()/'Enter data'!$E$10/LN($C$3/$C$2)</f>
        <v>4.19829126836701E-16</v>
      </c>
      <c r="AE43" s="52">
        <f>8.686*AD43*'Enter data'!$C$45/2</f>
        <v>1.3691559855720513E-13</v>
      </c>
      <c r="AF43" s="58">
        <f t="shared" si="8"/>
        <v>4.17323819060001E-14</v>
      </c>
      <c r="AH43" s="8">
        <f t="shared" si="2"/>
        <v>0.0032963056918394744</v>
      </c>
      <c r="AI43" s="58">
        <f t="shared" si="9"/>
        <v>0.0010047261923431707</v>
      </c>
    </row>
    <row r="44" spans="4:35" ht="12.75">
      <c r="D44" s="8">
        <f>D43*'Enter data'!$C$74</f>
        <v>156.09759987563916</v>
      </c>
      <c r="E44" s="36">
        <f t="shared" si="3"/>
        <v>1.5609759987563916E-07</v>
      </c>
      <c r="G44" s="8">
        <f t="shared" si="10"/>
        <v>0.0065576005101470785</v>
      </c>
      <c r="H44" s="8">
        <f t="shared" si="11"/>
        <v>0.0052103870933585756</v>
      </c>
      <c r="I44" s="8">
        <f t="shared" si="12"/>
        <v>7.349053877640107E-07</v>
      </c>
      <c r="J44" s="8">
        <f t="shared" si="13"/>
        <v>7.96642045564059E-07</v>
      </c>
      <c r="K44" s="8">
        <f>'Enter data'!$C$83/D44</f>
        <v>1920544.9554563337</v>
      </c>
      <c r="L44" s="8"/>
      <c r="M44" s="8">
        <f>1+(2.7182818^(-G44/2/'Enter data'!C$31))^1.6</f>
        <v>1</v>
      </c>
      <c r="N44" s="8">
        <f>1+(2.7182818^(-H44/2/'Enter data'!D$31))^1.6</f>
        <v>1</v>
      </c>
      <c r="O44" s="8">
        <f t="shared" si="4"/>
        <v>0.036059063440299</v>
      </c>
      <c r="P44" s="8">
        <f t="shared" si="5"/>
        <v>0.021000649028202367</v>
      </c>
      <c r="Q44" s="58">
        <f>8.686*O44/2/'Enter data'!C$45</f>
        <v>0.0020855170161272066</v>
      </c>
      <c r="R44" s="58">
        <f>8.686*P44/2/'Enter data'!C$45</f>
        <v>0.0012145964625660326</v>
      </c>
      <c r="S44" s="58">
        <f t="shared" si="6"/>
        <v>0.0006356733163030987</v>
      </c>
      <c r="T44" s="58">
        <f t="shared" si="7"/>
        <v>0.00037021350358633034</v>
      </c>
      <c r="U44" s="36">
        <f t="shared" si="0"/>
        <v>0.05705971246850137</v>
      </c>
      <c r="V44" s="36">
        <f>U44/(2*'Enter data'!$C$45)</f>
        <v>0.0003799347776529172</v>
      </c>
      <c r="W44" s="36">
        <f t="shared" si="1"/>
        <v>0.0033000678865199203</v>
      </c>
      <c r="Y44" s="8"/>
      <c r="Z44" s="8">
        <f>4*PI()^2*D44*'Enter data'!$C$82*'Enter data'!$E$14*'Enter data'!$E$15/LN('Enter data'!$C$44)</f>
        <v>7.820322916682184E-12</v>
      </c>
      <c r="AA44" s="58">
        <f>27.28753*'Enter data'!$E$14^0.5*'Enter data'!$E$15*D44/'Enter data'!$C$83</f>
        <v>2.5485844357467906E-09</v>
      </c>
      <c r="AB44" s="58">
        <f t="shared" si="14"/>
        <v>7.768179821222844E-10</v>
      </c>
      <c r="AC44" s="8"/>
      <c r="AD44" s="36">
        <f>2*PI()/'Enter data'!$E$10/LN($C$3/$C$2)</f>
        <v>4.19829126836701E-16</v>
      </c>
      <c r="AE44" s="52">
        <f>8.686*AD44*'Enter data'!$C$45/2</f>
        <v>1.3691559855720513E-13</v>
      </c>
      <c r="AF44" s="58">
        <f t="shared" si="8"/>
        <v>4.17323819060001E-14</v>
      </c>
      <c r="AH44" s="8">
        <f t="shared" si="2"/>
        <v>0.0033001160274145906</v>
      </c>
      <c r="AI44" s="58">
        <f t="shared" si="9"/>
        <v>0.0010058875967491436</v>
      </c>
    </row>
    <row r="45" spans="4:35" ht="12.75">
      <c r="D45" s="8">
        <f>D44*'Enter data'!$C$74</f>
        <v>184.718091580484</v>
      </c>
      <c r="E45" s="36">
        <f t="shared" si="3"/>
        <v>1.8471809158048403E-07</v>
      </c>
      <c r="G45" s="8">
        <f t="shared" si="10"/>
        <v>0.00602820970886498</v>
      </c>
      <c r="H45" s="8">
        <f t="shared" si="11"/>
        <v>0.004789755950294154</v>
      </c>
      <c r="I45" s="8">
        <f t="shared" si="12"/>
        <v>7.346548699990037E-07</v>
      </c>
      <c r="J45" s="8">
        <f t="shared" si="13"/>
        <v>7.943934009579945E-07</v>
      </c>
      <c r="K45" s="8">
        <f>'Enter data'!$C$83/D45</f>
        <v>1622972.9066325733</v>
      </c>
      <c r="L45" s="8"/>
      <c r="M45" s="8">
        <f>1+(2.7182818^(-G45/2/'Enter data'!C$31))^1.6</f>
        <v>1</v>
      </c>
      <c r="N45" s="8">
        <f>1+(2.7182818^(-H45/2/'Enter data'!D$31))^1.6</f>
        <v>1</v>
      </c>
      <c r="O45" s="8">
        <f t="shared" si="4"/>
        <v>0.036071359603232385</v>
      </c>
      <c r="P45" s="8">
        <f t="shared" si="5"/>
        <v>0.021060094381227922</v>
      </c>
      <c r="Q45" s="58">
        <f>8.686*O45/2/'Enter data'!C$45</f>
        <v>0.0020862281787194657</v>
      </c>
      <c r="R45" s="58">
        <f>8.686*P45/2/'Enter data'!C$45</f>
        <v>0.001218034552284301</v>
      </c>
      <c r="S45" s="58">
        <f t="shared" si="6"/>
        <v>0.0006358900812970817</v>
      </c>
      <c r="T45" s="58">
        <f t="shared" si="7"/>
        <v>0.0003712614460754392</v>
      </c>
      <c r="U45" s="36">
        <f aca="true" t="shared" si="15" ref="U45:U76">O45+P45</f>
        <v>0.057131453984460304</v>
      </c>
      <c r="V45" s="36">
        <f>U45/(2*'Enter data'!$C$45)</f>
        <v>0.00038041247190925245</v>
      </c>
      <c r="W45" s="36">
        <f t="shared" si="1"/>
        <v>0.0033042170815071373</v>
      </c>
      <c r="Y45" s="8"/>
      <c r="Z45" s="8">
        <f>4*PI()^2*D45*'Enter data'!$C$82*'Enter data'!$E$14*'Enter data'!$E$15/LN('Enter data'!$C$44)</f>
        <v>9.2541789615184E-12</v>
      </c>
      <c r="AA45" s="58">
        <f>27.28753*'Enter data'!$E$14^0.5*'Enter data'!$E$15*D45/'Enter data'!$C$83</f>
        <v>3.015867339266764E-09</v>
      </c>
      <c r="AB45" s="58">
        <f t="shared" si="14"/>
        <v>9.192475430586332E-10</v>
      </c>
      <c r="AC45" s="8"/>
      <c r="AD45" s="36">
        <f>2*PI()/'Enter data'!$E$10/LN($C$3/$C$2)</f>
        <v>4.19829126836701E-16</v>
      </c>
      <c r="AE45" s="52">
        <f>8.686*AD45*'Enter data'!$C$45/2</f>
        <v>1.3691559855720513E-13</v>
      </c>
      <c r="AF45" s="58">
        <f t="shared" si="8"/>
        <v>4.17323819060001E-14</v>
      </c>
      <c r="AH45" s="8">
        <f aca="true" t="shared" si="16" ref="AH45:AH76">Q45+R45+AA45+AE45</f>
        <v>0.0033042657470080217</v>
      </c>
      <c r="AI45" s="58">
        <f t="shared" si="9"/>
        <v>0.0010071524466617964</v>
      </c>
    </row>
    <row r="46" spans="4:35" ht="12.75">
      <c r="D46" s="8">
        <f>D45*'Enter data'!$C$74</f>
        <v>218.5861498467602</v>
      </c>
      <c r="E46" s="36">
        <f t="shared" si="3"/>
        <v>2.185861498467602E-07</v>
      </c>
      <c r="G46" s="8">
        <f t="shared" si="10"/>
        <v>0.005541556280810855</v>
      </c>
      <c r="H46" s="8">
        <f t="shared" si="11"/>
        <v>0.004403082084365861</v>
      </c>
      <c r="I46" s="8">
        <f t="shared" si="12"/>
        <v>7.343824811758407E-07</v>
      </c>
      <c r="J46" s="8">
        <f t="shared" si="13"/>
        <v>7.919581541101571E-07</v>
      </c>
      <c r="K46" s="8">
        <f>'Enter data'!$C$83/D46</f>
        <v>1371507.1069698124</v>
      </c>
      <c r="L46" s="8"/>
      <c r="M46" s="8">
        <f>1+(2.7182818^(-G46/2/'Enter data'!C$31))^1.6</f>
        <v>1</v>
      </c>
      <c r="N46" s="8">
        <f>1+(2.7182818^(-H46/2/'Enter data'!D$31))^1.6</f>
        <v>1</v>
      </c>
      <c r="O46" s="8">
        <f t="shared" si="4"/>
        <v>0.03608473878294331</v>
      </c>
      <c r="P46" s="8">
        <f t="shared" si="5"/>
        <v>0.02112485352057244</v>
      </c>
      <c r="Q46" s="58">
        <f>8.686*O46/2/'Enter data'!C$45</f>
        <v>0.0020870019788209342</v>
      </c>
      <c r="R46" s="58">
        <f>8.686*P46/2/'Enter data'!C$45</f>
        <v>0.0012217799708883186</v>
      </c>
      <c r="S46" s="58">
        <f t="shared" si="6"/>
        <v>0.0006361259384360321</v>
      </c>
      <c r="T46" s="58">
        <f t="shared" si="7"/>
        <v>0.0003724030635480122</v>
      </c>
      <c r="U46" s="36">
        <f t="shared" si="15"/>
        <v>0.05720959230351575</v>
      </c>
      <c r="V46" s="36">
        <f>U46/(2*'Enter data'!$C$45)</f>
        <v>0.00038093275957969754</v>
      </c>
      <c r="W46" s="36">
        <f aca="true" t="shared" si="17" ref="W46:W77">V46*8.68588</f>
        <v>0.003308736237778103</v>
      </c>
      <c r="Y46" s="8"/>
      <c r="Z46" s="8">
        <f>4*PI()^2*D46*'Enter data'!$C$82*'Enter data'!$E$14*'Enter data'!$E$15/LN('Enter data'!$C$44)</f>
        <v>1.0950932482484112E-11</v>
      </c>
      <c r="AA46" s="58">
        <f>27.28753*'Enter data'!$E$14^0.5*'Enter data'!$E$15*D46/'Enter data'!$C$83</f>
        <v>3.5688265534709757E-09</v>
      </c>
      <c r="AB46" s="58">
        <f t="shared" si="14"/>
        <v>1.0877915610433357E-09</v>
      </c>
      <c r="AC46" s="8"/>
      <c r="AD46" s="36">
        <f>2*PI()/'Enter data'!$E$10/LN($C$3/$C$2)</f>
        <v>4.19829126836701E-16</v>
      </c>
      <c r="AE46" s="52">
        <f>8.686*AD46*'Enter data'!$C$45/2</f>
        <v>1.3691559855720513E-13</v>
      </c>
      <c r="AF46" s="58">
        <f t="shared" si="8"/>
        <v>4.17323819060001E-14</v>
      </c>
      <c r="AH46" s="8">
        <f t="shared" si="16"/>
        <v>0.003308785518672722</v>
      </c>
      <c r="AI46" s="58">
        <f t="shared" si="9"/>
        <v>0.0010085300898173377</v>
      </c>
    </row>
    <row r="47" spans="4:35" ht="12.75">
      <c r="D47" s="8">
        <f>D46*'Enter data'!$C$74</f>
        <v>258.66391589484346</v>
      </c>
      <c r="E47" s="36">
        <f t="shared" si="3"/>
        <v>2.5866391589484343E-07</v>
      </c>
      <c r="G47" s="8">
        <f t="shared" si="10"/>
        <v>0.005094190065789241</v>
      </c>
      <c r="H47" s="8">
        <f t="shared" si="11"/>
        <v>0.004047624146794574</v>
      </c>
      <c r="I47" s="8">
        <f t="shared" si="12"/>
        <v>7.340863241945874E-07</v>
      </c>
      <c r="J47" s="8">
        <f t="shared" si="13"/>
        <v>7.893218392109393E-07</v>
      </c>
      <c r="K47" s="8">
        <f>'Enter data'!$C$83/D47</f>
        <v>1159003.786681544</v>
      </c>
      <c r="L47" s="8"/>
      <c r="M47" s="8">
        <f>1+(2.7182818^(-G47/2/'Enter data'!C$31))^1.6</f>
        <v>1</v>
      </c>
      <c r="N47" s="8">
        <f>1+(2.7182818^(-H47/2/'Enter data'!D$31))^1.6</f>
        <v>1</v>
      </c>
      <c r="O47" s="8">
        <f t="shared" si="4"/>
        <v>0.03609929667205669</v>
      </c>
      <c r="P47" s="8">
        <f t="shared" si="5"/>
        <v>0.021195409994894436</v>
      </c>
      <c r="Q47" s="58">
        <f>8.686*O47/2/'Enter data'!C$45</f>
        <v>0.002087843950923596</v>
      </c>
      <c r="R47" s="58">
        <f>8.686*P47/2/'Enter data'!C$45</f>
        <v>0.001225860684965657</v>
      </c>
      <c r="S47" s="58">
        <f t="shared" si="6"/>
        <v>0.0006363825746536198</v>
      </c>
      <c r="T47" s="58">
        <f t="shared" si="7"/>
        <v>0.00037364688032359694</v>
      </c>
      <c r="U47" s="36">
        <f t="shared" si="15"/>
        <v>0.05729470666695113</v>
      </c>
      <c r="V47" s="36">
        <f>U47/(2*'Enter data'!$C$45)</f>
        <v>0.0003814994975695663</v>
      </c>
      <c r="W47" s="36">
        <f t="shared" si="17"/>
        <v>0.0033136588559495445</v>
      </c>
      <c r="Y47" s="8"/>
      <c r="Z47" s="8">
        <f>4*PI()^2*D47*'Enter data'!$C$82*'Enter data'!$E$14*'Enter data'!$E$15/LN('Enter data'!$C$44)</f>
        <v>1.2958785726383764E-11</v>
      </c>
      <c r="AA47" s="58">
        <f>27.28753*'Enter data'!$E$14^0.5*'Enter data'!$E$15*D47/'Enter data'!$C$83</f>
        <v>4.22317082814926E-09</v>
      </c>
      <c r="AB47" s="58">
        <f t="shared" si="14"/>
        <v>1.2872381212354485E-09</v>
      </c>
      <c r="AC47" s="8"/>
      <c r="AD47" s="36">
        <f>2*PI()/'Enter data'!$E$10/LN($C$3/$C$2)</f>
        <v>4.19829126836701E-16</v>
      </c>
      <c r="AE47" s="52">
        <f>8.686*AD47*'Enter data'!$C$45/2</f>
        <v>1.3691559855720513E-13</v>
      </c>
      <c r="AF47" s="58">
        <f t="shared" si="8"/>
        <v>4.17323819060001E-14</v>
      </c>
      <c r="AH47" s="8">
        <f t="shared" si="16"/>
        <v>0.0033137088591969972</v>
      </c>
      <c r="AI47" s="58">
        <f t="shared" si="9"/>
        <v>0.0010100307422570706</v>
      </c>
    </row>
    <row r="48" spans="4:35" ht="12.75">
      <c r="D48" s="8">
        <f>D47*'Enter data'!$C$74</f>
        <v>306.08993951794207</v>
      </c>
      <c r="E48" s="36">
        <f t="shared" si="3"/>
        <v>3.0608993951794207E-07</v>
      </c>
      <c r="G48" s="8">
        <f t="shared" si="10"/>
        <v>0.004682939432781256</v>
      </c>
      <c r="H48" s="8">
        <f t="shared" si="11"/>
        <v>0.003720862096095592</v>
      </c>
      <c r="I48" s="8">
        <f t="shared" si="12"/>
        <v>7.337643396553026E-07</v>
      </c>
      <c r="J48" s="8">
        <f t="shared" si="13"/>
        <v>7.864690523267032E-07</v>
      </c>
      <c r="K48" s="8">
        <f>'Enter data'!$C$83/D48</f>
        <v>979426.0421369617</v>
      </c>
      <c r="L48" s="8"/>
      <c r="M48" s="8">
        <f>1+(2.7182818^(-G48/2/'Enter data'!C$31))^1.6</f>
        <v>1</v>
      </c>
      <c r="N48" s="8">
        <f>1+(2.7182818^(-H48/2/'Enter data'!D$31))^1.6</f>
        <v>1</v>
      </c>
      <c r="O48" s="8">
        <f t="shared" si="4"/>
        <v>0.036115137473768204</v>
      </c>
      <c r="P48" s="8">
        <f t="shared" si="5"/>
        <v>0.021272292851836558</v>
      </c>
      <c r="Q48" s="58">
        <f>8.686*O48/2/'Enter data'!C$45</f>
        <v>0.002088760121737992</v>
      </c>
      <c r="R48" s="58">
        <f>8.686*P48/2/'Enter data'!C$45</f>
        <v>0.0012303072925894721</v>
      </c>
      <c r="S48" s="58">
        <f t="shared" si="6"/>
        <v>0.0006366618269135552</v>
      </c>
      <c r="T48" s="58">
        <f t="shared" si="7"/>
        <v>0.00037500222280830044</v>
      </c>
      <c r="U48" s="36">
        <f t="shared" si="15"/>
        <v>0.05738743032560476</v>
      </c>
      <c r="V48" s="36">
        <f>U48/(2*'Enter data'!$C$45)</f>
        <v>0.00038211690240933275</v>
      </c>
      <c r="W48" s="36">
        <f t="shared" si="17"/>
        <v>0.003319021560299175</v>
      </c>
      <c r="Y48" s="8"/>
      <c r="Z48" s="8">
        <f>4*PI()^2*D48*'Enter data'!$C$82*'Enter data'!$E$14*'Enter data'!$E$15/LN('Enter data'!$C$44)</f>
        <v>1.5334778820975284E-11</v>
      </c>
      <c r="AA48" s="58">
        <f>27.28753*'Enter data'!$E$14^0.5*'Enter data'!$E$15*D48/'Enter data'!$C$83</f>
        <v>4.997489112040131E-09</v>
      </c>
      <c r="AB48" s="58">
        <f t="shared" si="14"/>
        <v>1.523253204108794E-09</v>
      </c>
      <c r="AC48" s="8"/>
      <c r="AD48" s="36">
        <f>2*PI()/'Enter data'!$E$10/LN($C$3/$C$2)</f>
        <v>4.19829126836701E-16</v>
      </c>
      <c r="AE48" s="52">
        <f>8.686*AD48*'Enter data'!$C$45/2</f>
        <v>1.3691559855720513E-13</v>
      </c>
      <c r="AF48" s="58">
        <f t="shared" si="8"/>
        <v>4.17323819060001E-14</v>
      </c>
      <c r="AH48" s="8">
        <f t="shared" si="16"/>
        <v>0.003319072411953492</v>
      </c>
      <c r="AI48" s="58">
        <f t="shared" si="9"/>
        <v>0.0010116655730167921</v>
      </c>
    </row>
    <row r="49" spans="4:35" ht="12.75">
      <c r="D49" s="8">
        <f>D48*'Enter data'!$C$74</f>
        <v>362.2115235902728</v>
      </c>
      <c r="E49" s="36">
        <f t="shared" si="3"/>
        <v>3.622115235902728E-07</v>
      </c>
      <c r="G49" s="8">
        <f t="shared" si="10"/>
        <v>0.004304888794466296</v>
      </c>
      <c r="H49" s="8">
        <f t="shared" si="11"/>
        <v>0.0034204793320854595</v>
      </c>
      <c r="I49" s="8">
        <f t="shared" si="12"/>
        <v>7.334142923869501E-07</v>
      </c>
      <c r="J49" s="8">
        <f t="shared" si="13"/>
        <v>7.833834244097284E-07</v>
      </c>
      <c r="K49" s="8">
        <f>'Enter data'!$C$83/D49</f>
        <v>827672.3363973363</v>
      </c>
      <c r="L49" s="8"/>
      <c r="M49" s="8">
        <f>1+(2.7182818^(-G49/2/'Enter data'!C$31))^1.6</f>
        <v>1</v>
      </c>
      <c r="N49" s="8">
        <f>1+(2.7182818^(-H49/2/'Enter data'!D$31))^1.6</f>
        <v>1</v>
      </c>
      <c r="O49" s="8">
        <f t="shared" si="4"/>
        <v>0.03613237466882984</v>
      </c>
      <c r="P49" s="8">
        <f t="shared" si="5"/>
        <v>0.021356081171370063</v>
      </c>
      <c r="Q49" s="58">
        <f>8.686*O49/2/'Enter data'!C$45</f>
        <v>0.0020897570545527024</v>
      </c>
      <c r="R49" s="58">
        <f>8.686*P49/2/'Enter data'!C$45</f>
        <v>0.001235153285509647</v>
      </c>
      <c r="S49" s="58">
        <f t="shared" si="6"/>
        <v>0.0006369656957305237</v>
      </c>
      <c r="T49" s="58">
        <f t="shared" si="7"/>
        <v>0.00037647929941162124</v>
      </c>
      <c r="U49" s="36">
        <f t="shared" si="15"/>
        <v>0.057488455840199904</v>
      </c>
      <c r="V49" s="36">
        <f>U49/(2*'Enter data'!$C$45)</f>
        <v>0.00038278958554712747</v>
      </c>
      <c r="W49" s="36">
        <f t="shared" si="17"/>
        <v>0.0033248644053120832</v>
      </c>
      <c r="Y49" s="8"/>
      <c r="Z49" s="8">
        <f>4*PI()^2*D49*'Enter data'!$C$82*'Enter data'!$E$14*'Enter data'!$E$15/LN('Enter data'!$C$44)</f>
        <v>1.8146410200259853E-11</v>
      </c>
      <c r="AA49" s="58">
        <f>27.28753*'Enter data'!$E$14^0.5*'Enter data'!$E$15*D49/'Enter data'!$C$83</f>
        <v>5.913778637248383E-09</v>
      </c>
      <c r="AB49" s="58">
        <f t="shared" si="14"/>
        <v>1.802541647539741E-09</v>
      </c>
      <c r="AC49" s="8"/>
      <c r="AD49" s="36">
        <f>2*PI()/'Enter data'!$E$10/LN($C$3/$C$2)</f>
        <v>4.19829126836701E-16</v>
      </c>
      <c r="AE49" s="52">
        <f>8.686*AD49*'Enter data'!$C$45/2</f>
        <v>1.3691559855720513E-13</v>
      </c>
      <c r="AF49" s="58">
        <f t="shared" si="8"/>
        <v>4.17323819060001E-14</v>
      </c>
      <c r="AH49" s="8">
        <f t="shared" si="16"/>
        <v>0.0033249162539779023</v>
      </c>
      <c r="AI49" s="58">
        <f t="shared" si="9"/>
        <v>0.0010134467977255248</v>
      </c>
    </row>
    <row r="50" spans="4:35" ht="12.75">
      <c r="D50" s="8">
        <f>D49*'Enter data'!$C$74</f>
        <v>428.62299894014114</v>
      </c>
      <c r="E50" s="36">
        <f t="shared" si="3"/>
        <v>4.2862299894014114E-07</v>
      </c>
      <c r="G50" s="8">
        <f t="shared" si="10"/>
        <v>0.0039573579369817004</v>
      </c>
      <c r="H50" s="8">
        <f t="shared" si="11"/>
        <v>0.0031443462721987476</v>
      </c>
      <c r="I50" s="8">
        <f t="shared" si="12"/>
        <v>7.330337569340709E-07</v>
      </c>
      <c r="J50" s="8">
        <f t="shared" si="13"/>
        <v>7.800476005987067E-07</v>
      </c>
      <c r="K50" s="8">
        <f>'Enter data'!$C$83/D50</f>
        <v>699431.5721305173</v>
      </c>
      <c r="L50" s="8"/>
      <c r="M50" s="8">
        <f>1+(2.7182818^(-G50/2/'Enter data'!C$31))^1.6</f>
        <v>1</v>
      </c>
      <c r="N50" s="8">
        <f>1+(2.7182818^(-H50/2/'Enter data'!D$31))^1.6</f>
        <v>1</v>
      </c>
      <c r="O50" s="8">
        <f t="shared" si="4"/>
        <v>0.03615113185351355</v>
      </c>
      <c r="P50" s="8">
        <f t="shared" si="5"/>
        <v>0.021447409090367426</v>
      </c>
      <c r="Q50" s="58">
        <f>8.686*O50/2/'Enter data'!C$45</f>
        <v>0.0020908418976989273</v>
      </c>
      <c r="R50" s="58">
        <f>8.686*P50/2/'Enter data'!C$45</f>
        <v>0.001240435339754673</v>
      </c>
      <c r="S50" s="58">
        <f t="shared" si="6"/>
        <v>0.0006372963599423699</v>
      </c>
      <c r="T50" s="58">
        <f t="shared" si="7"/>
        <v>0.00037808928912298</v>
      </c>
      <c r="U50" s="36">
        <f t="shared" si="15"/>
        <v>0.05759854094388098</v>
      </c>
      <c r="V50" s="36">
        <f>U50/(2*'Enter data'!$C$45)</f>
        <v>0.00038352259238471113</v>
      </c>
      <c r="W50" s="36">
        <f t="shared" si="17"/>
        <v>0.003331231214742514</v>
      </c>
      <c r="Y50" s="8"/>
      <c r="Z50" s="8">
        <f>4*PI()^2*D50*'Enter data'!$C$82*'Enter data'!$E$14*'Enter data'!$E$15/LN('Enter data'!$C$44)</f>
        <v>2.1473554134715062E-11</v>
      </c>
      <c r="AA50" s="58">
        <f>27.28753*'Enter data'!$E$14^0.5*'Enter data'!$E$15*D50/'Enter data'!$C$83</f>
        <v>6.998069827929722E-09</v>
      </c>
      <c r="AB50" s="58">
        <f t="shared" si="14"/>
        <v>2.133037621290454E-09</v>
      </c>
      <c r="AC50" s="8"/>
      <c r="AD50" s="36">
        <f>2*PI()/'Enter data'!$E$10/LN($C$3/$C$2)</f>
        <v>4.19829126836701E-16</v>
      </c>
      <c r="AE50" s="52">
        <f>8.686*AD50*'Enter data'!$C$45/2</f>
        <v>1.3691559855720513E-13</v>
      </c>
      <c r="AF50" s="58">
        <f t="shared" si="8"/>
        <v>4.17323819060001E-14</v>
      </c>
      <c r="AH50" s="8">
        <f t="shared" si="16"/>
        <v>0.003331284235660344</v>
      </c>
      <c r="AI50" s="58">
        <f t="shared" si="9"/>
        <v>0.0010153877821447036</v>
      </c>
    </row>
    <row r="51" spans="4:35" ht="12.75">
      <c r="D51" s="8">
        <f>D50*'Enter data'!$C$74</f>
        <v>507.2110169202081</v>
      </c>
      <c r="E51" s="36">
        <f t="shared" si="3"/>
        <v>5.072110169202082E-07</v>
      </c>
      <c r="G51" s="8">
        <f t="shared" si="10"/>
        <v>0.003637883018377392</v>
      </c>
      <c r="H51" s="8">
        <f t="shared" si="11"/>
        <v>0.002890505253678036</v>
      </c>
      <c r="I51" s="8">
        <f t="shared" si="12"/>
        <v>7.326201019361082E-07</v>
      </c>
      <c r="J51" s="8">
        <f t="shared" si="13"/>
        <v>7.764432275554294E-07</v>
      </c>
      <c r="K51" s="8">
        <f>'Enter data'!$C$83/D51</f>
        <v>591060.619740367</v>
      </c>
      <c r="L51" s="8"/>
      <c r="M51" s="8">
        <f>1+(2.7182818^(-G51/2/'Enter data'!C$31))^1.6</f>
        <v>1</v>
      </c>
      <c r="N51" s="8">
        <f>1+(2.7182818^(-H51/2/'Enter data'!D$31))^1.6</f>
        <v>1</v>
      </c>
      <c r="O51" s="8">
        <f t="shared" si="4"/>
        <v>0.03617154365539244</v>
      </c>
      <c r="P51" s="8">
        <f t="shared" si="5"/>
        <v>0.021546971376996998</v>
      </c>
      <c r="Q51" s="58">
        <f>8.686*O51/2/'Enter data'!C$45</f>
        <v>0.0020920224375157405</v>
      </c>
      <c r="R51" s="58">
        <f>8.686*P51/2/'Enter data'!C$45</f>
        <v>0.0012461936380331149</v>
      </c>
      <c r="S51" s="58">
        <f t="shared" si="6"/>
        <v>0.0006376561928541028</v>
      </c>
      <c r="T51" s="58">
        <f t="shared" si="7"/>
        <v>0.00037984443978088115</v>
      </c>
      <c r="U51" s="36">
        <f t="shared" si="15"/>
        <v>0.057718515032389436</v>
      </c>
      <c r="V51" s="36">
        <f>U51/(2*'Enter data'!$C$45)</f>
        <v>0.00038432144549261515</v>
      </c>
      <c r="W51" s="36">
        <f t="shared" si="17"/>
        <v>0.003338169956975396</v>
      </c>
      <c r="Y51" s="8"/>
      <c r="Z51" s="8">
        <f>4*PI()^2*D51*'Enter data'!$C$82*'Enter data'!$E$14*'Enter data'!$E$15/LN('Enter data'!$C$44)</f>
        <v>2.54107298406566E-11</v>
      </c>
      <c r="AA51" s="58">
        <f>27.28753*'Enter data'!$E$14^0.5*'Enter data'!$E$15*D51/'Enter data'!$C$83</f>
        <v>8.281165785969784E-09</v>
      </c>
      <c r="AB51" s="58">
        <f t="shared" si="14"/>
        <v>2.524130024984694E-09</v>
      </c>
      <c r="AC51" s="8"/>
      <c r="AD51" s="36">
        <f>2*PI()/'Enter data'!$E$10/LN($C$3/$C$2)</f>
        <v>4.19829126836701E-16</v>
      </c>
      <c r="AE51" s="52">
        <f>8.686*AD51*'Enter data'!$C$45/2</f>
        <v>1.3691559855720513E-13</v>
      </c>
      <c r="AF51" s="58">
        <f t="shared" si="8"/>
        <v>4.17323819060001E-14</v>
      </c>
      <c r="AH51" s="8">
        <f t="shared" si="16"/>
        <v>0.003338224356851557</v>
      </c>
      <c r="AI51" s="58">
        <f t="shared" si="9"/>
        <v>0.0010175031568067413</v>
      </c>
    </row>
    <row r="52" spans="4:35" ht="12.75">
      <c r="D52" s="8">
        <f>D51*'Enter data'!$C$74</f>
        <v>600.2081463695779</v>
      </c>
      <c r="E52" s="36">
        <f t="shared" si="3"/>
        <v>6.002081463695779E-07</v>
      </c>
      <c r="G52" s="8">
        <f t="shared" si="10"/>
        <v>0.003344199101052859</v>
      </c>
      <c r="H52" s="8">
        <f t="shared" si="11"/>
        <v>0.002657156654600229</v>
      </c>
      <c r="I52" s="8">
        <f t="shared" si="12"/>
        <v>7.321704733311395E-07</v>
      </c>
      <c r="J52" s="8">
        <f t="shared" si="13"/>
        <v>7.725509508544668E-07</v>
      </c>
      <c r="K52" s="8">
        <f>'Enter data'!$C$83/D52</f>
        <v>499480.8214672297</v>
      </c>
      <c r="L52" s="8"/>
      <c r="M52" s="8">
        <f>1+(2.7182818^(-G52/2/'Enter data'!C$31))^1.6</f>
        <v>1.0000000000000007</v>
      </c>
      <c r="N52" s="8">
        <f>1+(2.7182818^(-H52/2/'Enter data'!D$31))^1.6</f>
        <v>1</v>
      </c>
      <c r="O52" s="8">
        <f t="shared" si="4"/>
        <v>0.03619375673459431</v>
      </c>
      <c r="P52" s="8">
        <f t="shared" si="5"/>
        <v>0.021655529621050974</v>
      </c>
      <c r="Q52" s="58">
        <f>8.686*O52/2/'Enter data'!C$45</f>
        <v>0.002093307156258721</v>
      </c>
      <c r="R52" s="58">
        <f>8.686*P52/2/'Enter data'!C$45</f>
        <v>0.0012524722277582835</v>
      </c>
      <c r="S52" s="58">
        <f t="shared" si="6"/>
        <v>0.0006380477798886616</v>
      </c>
      <c r="T52" s="58">
        <f t="shared" si="7"/>
        <v>0.00038175817720015955</v>
      </c>
      <c r="U52" s="36">
        <f t="shared" si="15"/>
        <v>0.057849286355645284</v>
      </c>
      <c r="V52" s="36">
        <f>U52/(2*'Enter data'!$C$45)</f>
        <v>0.00038519219249562563</v>
      </c>
      <c r="W52" s="36">
        <f t="shared" si="17"/>
        <v>0.0033457331609539043</v>
      </c>
      <c r="Y52" s="8"/>
      <c r="Z52" s="8">
        <f>4*PI()^2*D52*'Enter data'!$C$82*'Enter data'!$E$14*'Enter data'!$E$15/LN('Enter data'!$C$44)</f>
        <v>3.00697866307544E-11</v>
      </c>
      <c r="AA52" s="58">
        <f>27.28753*'Enter data'!$E$14^0.5*'Enter data'!$E$15*D52/'Enter data'!$C$83</f>
        <v>9.799517361347092E-09</v>
      </c>
      <c r="AB52" s="58">
        <f t="shared" si="14"/>
        <v>2.986929212797821E-09</v>
      </c>
      <c r="AC52" s="8"/>
      <c r="AD52" s="36">
        <f>2*PI()/'Enter data'!$E$10/LN($C$3/$C$2)</f>
        <v>4.19829126836701E-16</v>
      </c>
      <c r="AE52" s="52">
        <f>8.686*AD52*'Enter data'!$C$45/2</f>
        <v>1.3691559855720513E-13</v>
      </c>
      <c r="AF52" s="58">
        <f t="shared" si="8"/>
        <v>4.17323819060001E-14</v>
      </c>
      <c r="AH52" s="8">
        <f t="shared" si="16"/>
        <v>0.003345789183671281</v>
      </c>
      <c r="AI52" s="58">
        <f t="shared" si="9"/>
        <v>0.0010198089440597662</v>
      </c>
    </row>
    <row r="53" spans="4:35" ht="12.75">
      <c r="D53" s="8">
        <f>D52*'Enter data'!$C$74</f>
        <v>710.2562975777738</v>
      </c>
      <c r="E53" s="36">
        <f t="shared" si="3"/>
        <v>7.102562975777738E-07</v>
      </c>
      <c r="G53" s="8">
        <f t="shared" si="10"/>
        <v>0.003074224094339079</v>
      </c>
      <c r="H53" s="8">
        <f t="shared" si="11"/>
        <v>0.0024426461353433426</v>
      </c>
      <c r="I53" s="8">
        <f t="shared" si="12"/>
        <v>7.31681776316236E-07</v>
      </c>
      <c r="J53" s="8">
        <f t="shared" si="13"/>
        <v>7.683504247362716E-07</v>
      </c>
      <c r="K53" s="8">
        <f>'Enter data'!$C$83/D53</f>
        <v>422090.5312946872</v>
      </c>
      <c r="L53" s="8"/>
      <c r="M53" s="8">
        <f>1+(2.7182818^(-G53/2/'Enter data'!C$31))^1.6</f>
        <v>1.0000000000000095</v>
      </c>
      <c r="N53" s="8">
        <f>1+(2.7182818^(-H53/2/'Enter data'!D$31))^1.6</f>
        <v>1</v>
      </c>
      <c r="O53" s="8">
        <f t="shared" si="4"/>
        <v>0.036217930878938674</v>
      </c>
      <c r="P53" s="8">
        <f t="shared" si="5"/>
        <v>0.021773919114761214</v>
      </c>
      <c r="Q53" s="58">
        <f>8.686*O53/2/'Enter data'!C$45</f>
        <v>0.002094705295438457</v>
      </c>
      <c r="R53" s="58">
        <f>8.686*P53/2/'Enter data'!C$45</f>
        <v>0.0012593194190080555</v>
      </c>
      <c r="S53" s="58">
        <f t="shared" si="6"/>
        <v>0.0006384739378927265</v>
      </c>
      <c r="T53" s="58">
        <f t="shared" si="7"/>
        <v>0.0003838452264716092</v>
      </c>
      <c r="U53" s="36">
        <f t="shared" si="15"/>
        <v>0.057991849993699884</v>
      </c>
      <c r="V53" s="36">
        <f>U53/(2*'Enter data'!$C$45)</f>
        <v>0.0003861414591810399</v>
      </c>
      <c r="W53" s="36">
        <f t="shared" si="17"/>
        <v>0.0033539783774714105</v>
      </c>
      <c r="Y53" s="8"/>
      <c r="Z53" s="8">
        <f>4*PI()^2*D53*'Enter data'!$C$82*'Enter data'!$E$14*'Enter data'!$E$15/LN('Enter data'!$C$44)</f>
        <v>3.558308138684032E-11</v>
      </c>
      <c r="AA53" s="58">
        <f>27.28753*'Enter data'!$E$14^0.5*'Enter data'!$E$15*D53/'Enter data'!$C$83</f>
        <v>1.1596258666628927E-08</v>
      </c>
      <c r="AB53" s="58">
        <f t="shared" si="14"/>
        <v>3.5345826221131815E-09</v>
      </c>
      <c r="AC53" s="8"/>
      <c r="AD53" s="36">
        <f>2*PI()/'Enter data'!$E$10/LN($C$3/$C$2)</f>
        <v>4.19829126836701E-16</v>
      </c>
      <c r="AE53" s="52">
        <f>8.686*AD53*'Enter data'!$C$45/2</f>
        <v>1.3691559855720513E-13</v>
      </c>
      <c r="AF53" s="58">
        <f t="shared" si="8"/>
        <v>4.17323819060001E-14</v>
      </c>
      <c r="AH53" s="8">
        <f t="shared" si="16"/>
        <v>0.003354036310842095</v>
      </c>
      <c r="AI53" s="58">
        <f t="shared" si="9"/>
        <v>0.0010223226989886903</v>
      </c>
    </row>
    <row r="54" spans="4:35" ht="12.75">
      <c r="D54" s="8">
        <f>D53*'Enter data'!$C$74</f>
        <v>840.4817750311968</v>
      </c>
      <c r="E54" s="36">
        <f t="shared" si="3"/>
        <v>8.404817750311968E-07</v>
      </c>
      <c r="G54" s="8">
        <f t="shared" si="10"/>
        <v>0.0028260439933852936</v>
      </c>
      <c r="H54" s="8">
        <f t="shared" si="11"/>
        <v>0.002245452910041329</v>
      </c>
      <c r="I54" s="8">
        <f t="shared" si="12"/>
        <v>7.3115065599659E-07</v>
      </c>
      <c r="J54" s="8">
        <f t="shared" si="13"/>
        <v>7.638203368450358E-07</v>
      </c>
      <c r="K54" s="8">
        <f>'Enter data'!$C$83/D54</f>
        <v>356691.2060512822</v>
      </c>
      <c r="L54" s="8"/>
      <c r="M54" s="8">
        <f>1+(2.7182818^(-G54/2/'Enter data'!C$31))^1.6</f>
        <v>1.0000000000001301</v>
      </c>
      <c r="N54" s="8">
        <f>1+(2.7182818^(-H54/2/'Enter data'!D$31))^1.6</f>
        <v>1</v>
      </c>
      <c r="O54" s="8">
        <f t="shared" si="4"/>
        <v>0.03624424020229627</v>
      </c>
      <c r="P54" s="8">
        <f t="shared" si="5"/>
        <v>0.0219030565081618</v>
      </c>
      <c r="Q54" s="58">
        <f>8.686*O54/2/'Enter data'!C$45</f>
        <v>0.002096226925129031</v>
      </c>
      <c r="R54" s="58">
        <f>8.686*P54/2/'Enter data'!C$45</f>
        <v>0.001266788227281491</v>
      </c>
      <c r="S54" s="58">
        <f t="shared" si="6"/>
        <v>0.0006389377362622016</v>
      </c>
      <c r="T54" s="58">
        <f t="shared" si="7"/>
        <v>0.00038612174691584093</v>
      </c>
      <c r="U54" s="36">
        <f t="shared" si="15"/>
        <v>0.05814729671045807</v>
      </c>
      <c r="V54" s="36">
        <f>U54/(2*'Enter data'!$C$45)</f>
        <v>0.00038717650845159136</v>
      </c>
      <c r="W54" s="36">
        <f t="shared" si="17"/>
        <v>0.003362968691229508</v>
      </c>
      <c r="Y54" s="8"/>
      <c r="Z54" s="8">
        <f>4*PI()^2*D54*'Enter data'!$C$82*'Enter data'!$E$14*'Enter data'!$E$15/LN('Enter data'!$C$44)</f>
        <v>4.210723862228938E-11</v>
      </c>
      <c r="AA54" s="58">
        <f>27.28753*'Enter data'!$E$14^0.5*'Enter data'!$E$15*D54/'Enter data'!$C$83</f>
        <v>1.3722432453028598E-08</v>
      </c>
      <c r="AB54" s="58">
        <f t="shared" si="14"/>
        <v>4.182648272686112E-09</v>
      </c>
      <c r="AC54" s="8"/>
      <c r="AD54" s="36">
        <f>2*PI()/'Enter data'!$E$10/LN($C$3/$C$2)</f>
        <v>4.19829126836701E-16</v>
      </c>
      <c r="AE54" s="52">
        <f>8.686*AD54*'Enter data'!$C$45/2</f>
        <v>1.3691559855720513E-13</v>
      </c>
      <c r="AF54" s="58">
        <f t="shared" si="8"/>
        <v>4.17323819060001E-14</v>
      </c>
      <c r="AH54" s="8">
        <f t="shared" si="16"/>
        <v>0.0033630288749798907</v>
      </c>
      <c r="AI54" s="58">
        <f t="shared" si="9"/>
        <v>0.0010250636658680477</v>
      </c>
    </row>
    <row r="55" spans="4:35" ht="12.75">
      <c r="D55" s="8">
        <f>D54*'Enter data'!$C$74</f>
        <v>994.5840910790921</v>
      </c>
      <c r="E55" s="36">
        <f t="shared" si="3"/>
        <v>9.94584091079092E-07</v>
      </c>
      <c r="G55" s="8">
        <f t="shared" si="10"/>
        <v>0.0025978993097008117</v>
      </c>
      <c r="H55" s="8">
        <f t="shared" si="11"/>
        <v>0.002064178964876692</v>
      </c>
      <c r="I55" s="8">
        <f t="shared" si="12"/>
        <v>7.305734766563417E-07</v>
      </c>
      <c r="J55" s="8">
        <f t="shared" si="13"/>
        <v>7.589384508957155E-07</v>
      </c>
      <c r="K55" s="8">
        <f>'Enter data'!$C$83/D55</f>
        <v>301424.9480652106</v>
      </c>
      <c r="L55" s="8"/>
      <c r="M55" s="8">
        <f>1+(2.7182818^(-G55/2/'Enter data'!C$31))^1.6</f>
        <v>1.0000000000014284</v>
      </c>
      <c r="N55" s="8">
        <f>1+(2.7182818^(-H55/2/'Enter data'!D$31))^1.6</f>
        <v>1</v>
      </c>
      <c r="O55" s="8">
        <f t="shared" si="4"/>
        <v>0.03627287445659785</v>
      </c>
      <c r="P55" s="8">
        <f t="shared" si="5"/>
        <v>0.022043948333695433</v>
      </c>
      <c r="Q55" s="58">
        <f>8.686*O55/2/'Enter data'!C$45</f>
        <v>0.002097883019849543</v>
      </c>
      <c r="R55" s="58">
        <f>8.686*P55/2/'Enter data'!C$45</f>
        <v>0.0012749368665291546</v>
      </c>
      <c r="S55" s="58">
        <f t="shared" si="6"/>
        <v>0.0006394425200711847</v>
      </c>
      <c r="T55" s="58">
        <f t="shared" si="7"/>
        <v>0.0003886054823607518</v>
      </c>
      <c r="U55" s="36">
        <f t="shared" si="15"/>
        <v>0.058316822790293286</v>
      </c>
      <c r="V55" s="36">
        <f>U55/(2*'Enter data'!$C$45)</f>
        <v>0.00038830530582301375</v>
      </c>
      <c r="W55" s="36">
        <f t="shared" si="17"/>
        <v>0.0033727732897419985</v>
      </c>
      <c r="Y55" s="8"/>
      <c r="Z55" s="8">
        <f>4*PI()^2*D55*'Enter data'!$C$82*'Enter data'!$E$14*'Enter data'!$E$15/LN('Enter data'!$C$44)</f>
        <v>4.9827599951760605E-11</v>
      </c>
      <c r="AA55" s="58">
        <f>27.28753*'Enter data'!$E$14^0.5*'Enter data'!$E$15*D55/'Enter data'!$C$83</f>
        <v>1.6238440159137414E-08</v>
      </c>
      <c r="AB55" s="58">
        <f t="shared" si="14"/>
        <v>4.9495367468719256E-09</v>
      </c>
      <c r="AC55" s="8"/>
      <c r="AD55" s="36">
        <f>2*PI()/'Enter data'!$E$10/LN($C$3/$C$2)</f>
        <v>4.19829126836701E-16</v>
      </c>
      <c r="AE55" s="52">
        <f>8.686*AD55*'Enter data'!$C$45/2</f>
        <v>1.3691559855720513E-13</v>
      </c>
      <c r="AF55" s="58">
        <f t="shared" si="8"/>
        <v>4.17323819060001E-14</v>
      </c>
      <c r="AH55" s="8">
        <f t="shared" si="16"/>
        <v>0.0033728361249557724</v>
      </c>
      <c r="AI55" s="58">
        <f t="shared" si="9"/>
        <v>0.0010280529520104158</v>
      </c>
    </row>
    <row r="56" spans="4:35" ht="12.75">
      <c r="D56" s="8">
        <f>D55*'Enter data'!$C$74</f>
        <v>1176.9410635833324</v>
      </c>
      <c r="E56" s="36">
        <f t="shared" si="3"/>
        <v>1.1769410635833324E-06</v>
      </c>
      <c r="G56" s="8">
        <f t="shared" si="10"/>
        <v>0.002388172597150297</v>
      </c>
      <c r="H56" s="8">
        <f t="shared" si="11"/>
        <v>0.0018975391467732836</v>
      </c>
      <c r="I56" s="8">
        <f t="shared" si="12"/>
        <v>7.299462995875838E-07</v>
      </c>
      <c r="J56" s="8">
        <f t="shared" si="13"/>
        <v>7.536816705410089E-07</v>
      </c>
      <c r="K56" s="8">
        <f>'Enter data'!$C$83/D56</f>
        <v>254721.72505159042</v>
      </c>
      <c r="L56" s="8"/>
      <c r="M56" s="8">
        <f>1+(2.7182818^(-G56/2/'Enter data'!C$31))^1.6</f>
        <v>1.0000000000129143</v>
      </c>
      <c r="N56" s="8">
        <f>1+(2.7182818^(-H56/2/'Enter data'!D$31))^1.6</f>
        <v>1</v>
      </c>
      <c r="O56" s="8">
        <f t="shared" si="4"/>
        <v>0.036304040469356216</v>
      </c>
      <c r="P56" s="8">
        <f t="shared" si="5"/>
        <v>0.022197700506622176</v>
      </c>
      <c r="Q56" s="58">
        <f>8.686*O56/2/'Enter data'!C$45</f>
        <v>0.0020996855417048325</v>
      </c>
      <c r="R56" s="58">
        <f>8.686*P56/2/'Enter data'!C$45</f>
        <v>0.0012838292986200807</v>
      </c>
      <c r="S56" s="58">
        <f t="shared" si="6"/>
        <v>0.0006399919354135676</v>
      </c>
      <c r="T56" s="58">
        <f t="shared" si="7"/>
        <v>0.0003913159286210926</v>
      </c>
      <c r="U56" s="36">
        <f t="shared" si="15"/>
        <v>0.05850174097597839</v>
      </c>
      <c r="V56" s="36">
        <f>U56/(2*'Enter data'!$C$45)</f>
        <v>0.0003895365922547678</v>
      </c>
      <c r="W56" s="36">
        <f t="shared" si="17"/>
        <v>0.003383468095933842</v>
      </c>
      <c r="Y56" s="8"/>
      <c r="Z56" s="8">
        <f>4*PI()^2*D56*'Enter data'!$C$82*'Enter data'!$E$14*'Enter data'!$E$15/LN('Enter data'!$C$44)</f>
        <v>5.896348937112284E-11</v>
      </c>
      <c r="AA56" s="58">
        <f>27.28753*'Enter data'!$E$14^0.5*'Enter data'!$E$15*D56/'Enter data'!$C$83</f>
        <v>1.921575782606166E-08</v>
      </c>
      <c r="AB56" s="58">
        <f t="shared" si="14"/>
        <v>5.8570342069195495E-09</v>
      </c>
      <c r="AC56" s="8"/>
      <c r="AD56" s="36">
        <f>2*PI()/'Enter data'!$E$10/LN($C$3/$C$2)</f>
        <v>4.19829126836701E-16</v>
      </c>
      <c r="AE56" s="52">
        <f>8.686*AD56*'Enter data'!$C$45/2</f>
        <v>1.3691559855720513E-13</v>
      </c>
      <c r="AF56" s="58">
        <f t="shared" si="8"/>
        <v>4.17323819060001E-14</v>
      </c>
      <c r="AH56" s="8">
        <f t="shared" si="16"/>
        <v>0.003383534056219655</v>
      </c>
      <c r="AI56" s="58">
        <f t="shared" si="9"/>
        <v>0.0010313137211105995</v>
      </c>
    </row>
    <row r="57" spans="4:35" ht="12.75">
      <c r="D57" s="8">
        <f>D56*'Enter data'!$C$74</f>
        <v>1392.7331832201119</v>
      </c>
      <c r="E57" s="36">
        <f t="shared" si="3"/>
        <v>1.392733183220112E-06</v>
      </c>
      <c r="G57" s="8">
        <f t="shared" si="10"/>
        <v>0.0021953769849672993</v>
      </c>
      <c r="H57" s="8">
        <f t="shared" si="11"/>
        <v>0.0017443520522224558</v>
      </c>
      <c r="I57" s="8">
        <f t="shared" si="12"/>
        <v>7.292648594171587E-07</v>
      </c>
      <c r="J57" s="8">
        <f t="shared" si="13"/>
        <v>7.480261280265442E-07</v>
      </c>
      <c r="K57" s="8">
        <f>'Enter data'!$C$83/D57</f>
        <v>215254.76782771526</v>
      </c>
      <c r="L57" s="8"/>
      <c r="M57" s="8">
        <f>1+(2.7182818^(-G57/2/'Enter data'!C$31))^1.6</f>
        <v>1.000000000097753</v>
      </c>
      <c r="N57" s="8">
        <f>1+(2.7182818^(-H57/2/'Enter data'!D$31))^1.6</f>
        <v>1</v>
      </c>
      <c r="O57" s="8">
        <f t="shared" si="4"/>
        <v>0.03633796372193248</v>
      </c>
      <c r="P57" s="8">
        <f t="shared" si="5"/>
        <v>0.02236552892094476</v>
      </c>
      <c r="Q57" s="58">
        <f>8.686*O57/2/'Enter data'!C$45</f>
        <v>0.0021016475316663107</v>
      </c>
      <c r="R57" s="58">
        <f>8.686*P57/2/'Enter data'!C$45</f>
        <v>0.0012935358461691842</v>
      </c>
      <c r="S57" s="58">
        <f t="shared" si="6"/>
        <v>0.0006405899572257713</v>
      </c>
      <c r="T57" s="58">
        <f t="shared" si="7"/>
        <v>0.00039427452029053403</v>
      </c>
      <c r="U57" s="36">
        <f t="shared" si="15"/>
        <v>0.05870349264287724</v>
      </c>
      <c r="V57" s="36">
        <f>U57/(2*'Enter data'!$C$45)</f>
        <v>0.00039087996521246774</v>
      </c>
      <c r="W57" s="36">
        <f t="shared" si="17"/>
        <v>0.003395136472239669</v>
      </c>
      <c r="Y57" s="8"/>
      <c r="Z57" s="8">
        <f>4*PI()^2*D57*'Enter data'!$C$82*'Enter data'!$E$14*'Enter data'!$E$15/LN('Enter data'!$C$44)</f>
        <v>6.977444392634591E-11</v>
      </c>
      <c r="AA57" s="58">
        <f>27.28753*'Enter data'!$E$14^0.5*'Enter data'!$E$15*D57/'Enter data'!$C$83</f>
        <v>2.2738966625564373E-08</v>
      </c>
      <c r="AB57" s="58">
        <f t="shared" si="14"/>
        <v>6.930921307475119E-09</v>
      </c>
      <c r="AC57" s="8"/>
      <c r="AD57" s="36">
        <f>2*PI()/'Enter data'!$E$10/LN($C$3/$C$2)</f>
        <v>4.19829126836701E-16</v>
      </c>
      <c r="AE57" s="52">
        <f>8.686*AD57*'Enter data'!$C$45/2</f>
        <v>1.3691559855720513E-13</v>
      </c>
      <c r="AF57" s="58">
        <f t="shared" si="8"/>
        <v>4.17323819060001E-14</v>
      </c>
      <c r="AH57" s="8">
        <f t="shared" si="16"/>
        <v>0.003395206116939036</v>
      </c>
      <c r="AI57" s="58">
        <f t="shared" si="9"/>
        <v>0.0010348714084793453</v>
      </c>
    </row>
    <row r="58" spans="4:35" ht="12.75">
      <c r="D58" s="8">
        <f>D57*'Enter data'!$C$74</f>
        <v>1648.0907835238313</v>
      </c>
      <c r="E58" s="36">
        <f t="shared" si="3"/>
        <v>1.6480907835238313E-06</v>
      </c>
      <c r="G58" s="8">
        <f t="shared" si="10"/>
        <v>0.002018145636490103</v>
      </c>
      <c r="H58" s="8">
        <f t="shared" si="11"/>
        <v>0.0016035316516483122</v>
      </c>
      <c r="I58" s="8">
        <f t="shared" si="12"/>
        <v>7.285245388781599E-07</v>
      </c>
      <c r="J58" s="8">
        <f t="shared" si="13"/>
        <v>7.419473015142609E-07</v>
      </c>
      <c r="K58" s="8">
        <f>'Enter data'!$C$83/D58</f>
        <v>181902.87877164443</v>
      </c>
      <c r="L58" s="8"/>
      <c r="M58" s="8">
        <f>1+(2.7182818^(-G58/2/'Enter data'!C$31))^1.6</f>
        <v>1.0000000006283771</v>
      </c>
      <c r="N58" s="8">
        <f>1+(2.7182818^(-H58/2/'Enter data'!D$31))^1.6</f>
        <v>1</v>
      </c>
      <c r="O58" s="8">
        <f t="shared" si="4"/>
        <v>0.03637489009513777</v>
      </c>
      <c r="P58" s="8">
        <f t="shared" si="5"/>
        <v>0.022548771275069372</v>
      </c>
      <c r="Q58" s="58">
        <f>8.686*O58/2/'Enter data'!C$45</f>
        <v>0.0021037832105308216</v>
      </c>
      <c r="R58" s="58">
        <f>8.686*P58/2/'Enter data'!C$45</f>
        <v>0.001304133876487825</v>
      </c>
      <c r="S58" s="58">
        <f t="shared" si="6"/>
        <v>0.0006412409200593824</v>
      </c>
      <c r="T58" s="58">
        <f t="shared" si="7"/>
        <v>0.00039750483921233387</v>
      </c>
      <c r="U58" s="36">
        <f t="shared" si="15"/>
        <v>0.058923661370207145</v>
      </c>
      <c r="V58" s="36">
        <f>U58/(2*'Enter data'!$C$45)</f>
        <v>0.00039234596903277075</v>
      </c>
      <c r="W58" s="36">
        <f t="shared" si="17"/>
        <v>0.0034078700055023624</v>
      </c>
      <c r="Y58" s="8"/>
      <c r="Z58" s="8">
        <f>4*PI()^2*D58*'Enter data'!$C$82*'Enter data'!$E$14*'Enter data'!$E$15/LN('Enter data'!$C$44)</f>
        <v>8.256758677540387E-11</v>
      </c>
      <c r="AA58" s="58">
        <f>27.28753*'Enter data'!$E$14^0.5*'Enter data'!$E$15*D58/'Enter data'!$C$83</f>
        <v>2.6908155685499908E-08</v>
      </c>
      <c r="AB58" s="58">
        <f t="shared" si="14"/>
        <v>8.201705585680293E-09</v>
      </c>
      <c r="AC58" s="8"/>
      <c r="AD58" s="36">
        <f>2*PI()/'Enter data'!$E$10/LN($C$3/$C$2)</f>
        <v>4.19829126836701E-16</v>
      </c>
      <c r="AE58" s="52">
        <f>8.686*AD58*'Enter data'!$C$45/2</f>
        <v>1.3691559855720513E-13</v>
      </c>
      <c r="AF58" s="58">
        <f t="shared" si="8"/>
        <v>4.17323819060001E-14</v>
      </c>
      <c r="AH58" s="8">
        <f t="shared" si="16"/>
        <v>0.0034079439953112476</v>
      </c>
      <c r="AI58" s="58">
        <f t="shared" si="9"/>
        <v>0.0010387539610190342</v>
      </c>
    </row>
    <row r="59" spans="4:35" ht="12.75">
      <c r="D59" s="8">
        <f>D58*'Enter data'!$C$74</f>
        <v>1950.2681945554814</v>
      </c>
      <c r="E59" s="36">
        <f t="shared" si="3"/>
        <v>1.9502681945554815E-06</v>
      </c>
      <c r="G59" s="8">
        <f t="shared" si="10"/>
        <v>0.0018552220588869436</v>
      </c>
      <c r="H59" s="8">
        <f t="shared" si="11"/>
        <v>0.001474079589932484</v>
      </c>
      <c r="I59" s="8">
        <f t="shared" si="12"/>
        <v>7.277203419810186E-07</v>
      </c>
      <c r="J59" s="8">
        <f t="shared" si="13"/>
        <v>7.354201651990945E-07</v>
      </c>
      <c r="K59" s="8">
        <f>'Enter data'!$C$83/D59</f>
        <v>153718.58026343436</v>
      </c>
      <c r="L59" s="8"/>
      <c r="M59" s="8">
        <f>1+(2.7182818^(-G59/2/'Enter data'!C$31))^1.6</f>
        <v>1.0000000034759544</v>
      </c>
      <c r="N59" s="8">
        <f>1+(2.7182818^(-H59/2/'Enter data'!D$31))^1.6</f>
        <v>1</v>
      </c>
      <c r="O59" s="8">
        <f t="shared" si="4"/>
        <v>0.036415087851037135</v>
      </c>
      <c r="P59" s="8">
        <f t="shared" si="5"/>
        <v>0.022748900277259627</v>
      </c>
      <c r="Q59" s="58">
        <f>8.686*O59/2/'Enter data'!C$45</f>
        <v>0.002106108093540527</v>
      </c>
      <c r="R59" s="58">
        <f>8.686*P59/2/'Enter data'!C$45</f>
        <v>0.001315708565336285</v>
      </c>
      <c r="S59" s="58">
        <f t="shared" si="6"/>
        <v>0.0006419495530177173</v>
      </c>
      <c r="T59" s="58">
        <f t="shared" si="7"/>
        <v>0.0004010328472739225</v>
      </c>
      <c r="U59" s="36">
        <f t="shared" si="15"/>
        <v>0.05916398812829676</v>
      </c>
      <c r="V59" s="36">
        <f>U59/(2*'Enter data'!$C$45)</f>
        <v>0.00039394619604844717</v>
      </c>
      <c r="W59" s="36">
        <f t="shared" si="17"/>
        <v>0.003421769385333286</v>
      </c>
      <c r="Y59" s="8"/>
      <c r="Z59" s="8">
        <f>4*PI()^2*D59*'Enter data'!$C$82*'Enter data'!$E$14*'Enter data'!$E$15/LN('Enter data'!$C$44)</f>
        <v>9.770635210092571E-11</v>
      </c>
      <c r="AA59" s="58">
        <f>27.28753*'Enter data'!$E$14^0.5*'Enter data'!$E$15*D59/'Enter data'!$C$83</f>
        <v>3.1841765473242134E-08</v>
      </c>
      <c r="AB59" s="58">
        <f t="shared" si="14"/>
        <v>9.705488134979923E-09</v>
      </c>
      <c r="AC59" s="8"/>
      <c r="AD59" s="36">
        <f>2*PI()/'Enter data'!$E$10/LN($C$3/$C$2)</f>
        <v>4.19829126836701E-16</v>
      </c>
      <c r="AE59" s="52">
        <f>8.686*AD59*'Enter data'!$C$45/2</f>
        <v>1.3691559855720513E-13</v>
      </c>
      <c r="AF59" s="58">
        <f t="shared" si="8"/>
        <v>4.17323819060001E-14</v>
      </c>
      <c r="AH59" s="8">
        <f t="shared" si="16"/>
        <v>0.0034218485007792006</v>
      </c>
      <c r="AI59" s="58">
        <f t="shared" si="9"/>
        <v>0.0010429921058215071</v>
      </c>
    </row>
    <row r="60" spans="4:35" ht="12.75">
      <c r="D60" s="8">
        <f>D59*'Enter data'!$C$74</f>
        <v>2307.8498276425184</v>
      </c>
      <c r="E60" s="36">
        <f t="shared" si="3"/>
        <v>2.3078498276425183E-06</v>
      </c>
      <c r="G60" s="8">
        <f t="shared" si="10"/>
        <v>0.0017054511951707647</v>
      </c>
      <c r="H60" s="8">
        <f t="shared" si="11"/>
        <v>0.0013550781085125002</v>
      </c>
      <c r="I60" s="8">
        <f t="shared" si="12"/>
        <v>7.268468655512425E-07</v>
      </c>
      <c r="J60" s="8">
        <f t="shared" si="13"/>
        <v>7.284193765143067E-07</v>
      </c>
      <c r="K60" s="8">
        <f>'Enter data'!$C$83/D60</f>
        <v>129901.1982535448</v>
      </c>
      <c r="L60" s="8"/>
      <c r="M60" s="8">
        <f>1+(2.7182818^(-G60/2/'Enter data'!C$31))^1.6</f>
        <v>1.000000016747795</v>
      </c>
      <c r="N60" s="8">
        <f>1+(2.7182818^(-H60/2/'Enter data'!D$31))^1.6</f>
        <v>1</v>
      </c>
      <c r="O60" s="8">
        <f t="shared" si="4"/>
        <v>0.036458850059889115</v>
      </c>
      <c r="P60" s="8">
        <f t="shared" si="5"/>
        <v>0.02296753839808298</v>
      </c>
      <c r="Q60" s="58">
        <f>8.686*O60/2/'Enter data'!C$45</f>
        <v>0.0021086391307477254</v>
      </c>
      <c r="R60" s="58">
        <f>8.686*P60/2/'Enter data'!C$45</f>
        <v>0.0013283537501483115</v>
      </c>
      <c r="S60" s="58">
        <f t="shared" si="6"/>
        <v>0.0006427210225395407</v>
      </c>
      <c r="T60" s="58">
        <f t="shared" si="7"/>
        <v>0.00040488714647290644</v>
      </c>
      <c r="U60" s="36">
        <f t="shared" si="15"/>
        <v>0.059426388457972094</v>
      </c>
      <c r="V60" s="36">
        <f>U60/(2*'Enter data'!$C$45)</f>
        <v>0.00039569340097813</v>
      </c>
      <c r="W60" s="36">
        <f t="shared" si="17"/>
        <v>0.0034369453976879193</v>
      </c>
      <c r="Y60" s="8"/>
      <c r="Z60" s="8">
        <f>4*PI()^2*D60*'Enter data'!$C$82*'Enter data'!$E$14*'Enter data'!$E$15/LN('Enter data'!$C$44)</f>
        <v>1.1562080973539962E-10</v>
      </c>
      <c r="AA60" s="58">
        <f>27.28753*'Enter data'!$E$14^0.5*'Enter data'!$E$15*D60/'Enter data'!$C$83</f>
        <v>3.7679952513405365E-08</v>
      </c>
      <c r="AB60" s="58">
        <f t="shared" si="14"/>
        <v>1.1484989183554427E-08</v>
      </c>
      <c r="AC60" s="8"/>
      <c r="AD60" s="36">
        <f>2*PI()/'Enter data'!$E$10/LN($C$3/$C$2)</f>
        <v>4.19829126836701E-16</v>
      </c>
      <c r="AE60" s="52">
        <f>8.686*AD60*'Enter data'!$C$45/2</f>
        <v>1.3691559855720513E-13</v>
      </c>
      <c r="AF60" s="58">
        <f t="shared" si="8"/>
        <v>4.17323819060001E-14</v>
      </c>
      <c r="AH60" s="8">
        <f t="shared" si="16"/>
        <v>0.003437030560985466</v>
      </c>
      <c r="AI60" s="58">
        <f t="shared" si="9"/>
        <v>0.0010476196540433632</v>
      </c>
    </row>
    <row r="61" spans="4:35" ht="12.75">
      <c r="D61" s="8">
        <f>D60*'Enter data'!$C$74</f>
        <v>2730.9940457515277</v>
      </c>
      <c r="E61" s="36">
        <f t="shared" si="3"/>
        <v>2.7309940457515275E-06</v>
      </c>
      <c r="G61" s="8">
        <f t="shared" si="10"/>
        <v>0.0015677712353498038</v>
      </c>
      <c r="H61" s="8">
        <f t="shared" si="11"/>
        <v>0.0012456835388745316</v>
      </c>
      <c r="I61" s="8">
        <f t="shared" si="12"/>
        <v>7.25898269116053E-07</v>
      </c>
      <c r="J61" s="8">
        <f t="shared" si="13"/>
        <v>7.209195047828198E-07</v>
      </c>
      <c r="K61" s="8">
        <f>'Enter data'!$C$83/D61</f>
        <v>109774.11630258671</v>
      </c>
      <c r="L61" s="8"/>
      <c r="M61" s="8">
        <f>1+(2.7182818^(-G61/2/'Enter data'!C$31))^1.6</f>
        <v>1.0000000710742767</v>
      </c>
      <c r="N61" s="8">
        <f>1+(2.7182818^(-H61/2/'Enter data'!D$31))^1.6</f>
        <v>1</v>
      </c>
      <c r="O61" s="8">
        <f t="shared" si="4"/>
        <v>0.03650649807886525</v>
      </c>
      <c r="P61" s="8">
        <f t="shared" si="5"/>
        <v>0.023206474355330405</v>
      </c>
      <c r="Q61" s="58">
        <f>8.686*O61/2/'Enter data'!C$45</f>
        <v>0.0021113949082105544</v>
      </c>
      <c r="R61" s="58">
        <f>8.686*P61/2/'Enter data'!C$45</f>
        <v>0.0013421728834552308</v>
      </c>
      <c r="S61" s="58">
        <f t="shared" si="6"/>
        <v>0.0006435609937242607</v>
      </c>
      <c r="T61" s="58">
        <f t="shared" si="7"/>
        <v>0.0004090992695242718</v>
      </c>
      <c r="U61" s="36">
        <f t="shared" si="15"/>
        <v>0.059712972434195655</v>
      </c>
      <c r="V61" s="36">
        <f>U61/(2*'Enter data'!$C$45)</f>
        <v>0.00039760163385514446</v>
      </c>
      <c r="W61" s="36">
        <f t="shared" si="17"/>
        <v>0.003453520079469722</v>
      </c>
      <c r="Y61" s="8"/>
      <c r="Z61" s="8">
        <f>4*PI()^2*D61*'Enter data'!$C$82*'Enter data'!$E$14*'Enter data'!$E$15/LN('Enter data'!$C$44)</f>
        <v>1.3681988280619498E-10</v>
      </c>
      <c r="AA61" s="58">
        <f>27.28753*'Enter data'!$E$14^0.5*'Enter data'!$E$15*D61/'Enter data'!$C$83</f>
        <v>4.458857102648967E-08</v>
      </c>
      <c r="AB61" s="58">
        <f t="shared" si="14"/>
        <v>1.3590761712536474E-08</v>
      </c>
      <c r="AC61" s="8"/>
      <c r="AD61" s="36">
        <f>2*PI()/'Enter data'!$E$10/LN($C$3/$C$2)</f>
        <v>4.19829126836701E-16</v>
      </c>
      <c r="AE61" s="52">
        <f>8.686*AD61*'Enter data'!$C$45/2</f>
        <v>1.3691559855720513E-13</v>
      </c>
      <c r="AF61" s="58">
        <f t="shared" si="8"/>
        <v>4.17323819060001E-14</v>
      </c>
      <c r="AH61" s="8">
        <f t="shared" si="16"/>
        <v>0.0034536123803737273</v>
      </c>
      <c r="AI61" s="58">
        <f t="shared" si="9"/>
        <v>0.0010526738540519772</v>
      </c>
    </row>
    <row r="62" spans="4:35" ht="12.75">
      <c r="D62" s="8">
        <f>D61*'Enter data'!$C$74</f>
        <v>3231.7217474886666</v>
      </c>
      <c r="E62" s="36">
        <f t="shared" si="3"/>
        <v>3.2317217474886666E-06</v>
      </c>
      <c r="G62" s="8">
        <f t="shared" si="10"/>
        <v>0.0014412060886586334</v>
      </c>
      <c r="H62" s="8">
        <f t="shared" si="11"/>
        <v>0.0011451203213122105</v>
      </c>
      <c r="I62" s="8">
        <f t="shared" si="12"/>
        <v>7.248682431415999E-07</v>
      </c>
      <c r="J62" s="8">
        <f t="shared" si="13"/>
        <v>7.128953055839083E-07</v>
      </c>
      <c r="K62" s="8">
        <f>'Enter data'!$C$83/D62</f>
        <v>92765.55391347205</v>
      </c>
      <c r="L62" s="8"/>
      <c r="M62" s="8">
        <f>1+(2.7182818^(-G62/2/'Enter data'!C$31))^1.6</f>
        <v>1.0000002684040277</v>
      </c>
      <c r="N62" s="8">
        <f>1+(2.7182818^(-H62/2/'Enter data'!D$31))^1.6</f>
        <v>1.0000000000000002</v>
      </c>
      <c r="O62" s="8">
        <f t="shared" si="4"/>
        <v>0.036558387646510135</v>
      </c>
      <c r="P62" s="8">
        <f t="shared" si="5"/>
        <v>0.023467681536066553</v>
      </c>
      <c r="Q62" s="58">
        <f>8.686*O62/2/'Enter data'!C$45</f>
        <v>0.0021143960004730324</v>
      </c>
      <c r="R62" s="58">
        <f>8.686*P62/2/'Enter data'!C$45</f>
        <v>0.0013572800983462044</v>
      </c>
      <c r="S62" s="58">
        <f t="shared" si="6"/>
        <v>0.0006444757377691515</v>
      </c>
      <c r="T62" s="58">
        <f t="shared" si="7"/>
        <v>0.00041370400461661924</v>
      </c>
      <c r="U62" s="36">
        <f t="shared" si="15"/>
        <v>0.06002606918257669</v>
      </c>
      <c r="V62" s="36">
        <f>U62/(2*'Enter data'!$C$45)</f>
        <v>0.000399686403271844</v>
      </c>
      <c r="W62" s="36">
        <f t="shared" si="17"/>
        <v>0.0034716281364508437</v>
      </c>
      <c r="Y62" s="8"/>
      <c r="Z62" s="8">
        <f>4*PI()^2*D62*'Enter data'!$C$82*'Enter data'!$E$14*'Enter data'!$E$15/LN('Enter data'!$C$44)</f>
        <v>1.619058054855459E-10</v>
      </c>
      <c r="AA62" s="58">
        <f>27.28753*'Enter data'!$E$14^0.5*'Enter data'!$E$15*D62/'Enter data'!$C$83</f>
        <v>5.276388460088942E-08</v>
      </c>
      <c r="AB62" s="58">
        <f t="shared" si="14"/>
        <v>1.6082627591102603E-08</v>
      </c>
      <c r="AC62" s="8"/>
      <c r="AD62" s="36">
        <f>2*PI()/'Enter data'!$E$10/LN($C$3/$C$2)</f>
        <v>4.19829126836701E-16</v>
      </c>
      <c r="AE62" s="52">
        <f>8.686*AD62*'Enter data'!$C$45/2</f>
        <v>1.3691559855720513E-13</v>
      </c>
      <c r="AF62" s="58">
        <f t="shared" si="8"/>
        <v>4.17323819060001E-14</v>
      </c>
      <c r="AH62" s="8">
        <f t="shared" si="16"/>
        <v>0.003471728862840753</v>
      </c>
      <c r="AI62" s="58">
        <f t="shared" si="9"/>
        <v>0.0010581958250550942</v>
      </c>
    </row>
    <row r="63" spans="4:35" ht="12.75">
      <c r="D63" s="8">
        <f>D62*'Enter data'!$C$74</f>
        <v>3824.257862970611</v>
      </c>
      <c r="E63" s="36">
        <f t="shared" si="3"/>
        <v>3.824257862970611E-06</v>
      </c>
      <c r="G63" s="8">
        <f t="shared" si="10"/>
        <v>0.0013248584635010712</v>
      </c>
      <c r="H63" s="8">
        <f t="shared" si="11"/>
        <v>0.0010526755065471392</v>
      </c>
      <c r="I63" s="8">
        <f t="shared" si="12"/>
        <v>7.23749975647214E-07</v>
      </c>
      <c r="J63" s="8">
        <f t="shared" si="13"/>
        <v>7.043220448182898E-07</v>
      </c>
      <c r="K63" s="8">
        <f>'Enter data'!$C$83/D63</f>
        <v>78392.32309693858</v>
      </c>
      <c r="L63" s="8"/>
      <c r="M63" s="8">
        <f>1+(2.7182818^(-G63/2/'Enter data'!C$31))^1.6</f>
        <v>1.0000009104971557</v>
      </c>
      <c r="N63" s="8">
        <f>1+(2.7182818^(-H63/2/'Enter data'!D$31))^1.6</f>
        <v>1.000000000000004</v>
      </c>
      <c r="O63" s="8">
        <f t="shared" si="4"/>
        <v>0.036614921102655004</v>
      </c>
      <c r="P63" s="8">
        <f t="shared" si="5"/>
        <v>0.02375333858010416</v>
      </c>
      <c r="Q63" s="58">
        <f>8.686*O63/2/'Enter data'!C$45</f>
        <v>0.002117665677317685</v>
      </c>
      <c r="R63" s="58">
        <f>8.686*P63/2/'Enter data'!C$45</f>
        <v>0.0013738013989369247</v>
      </c>
      <c r="S63" s="58">
        <f t="shared" si="6"/>
        <v>0.0006454723473901746</v>
      </c>
      <c r="T63" s="58">
        <f t="shared" si="7"/>
        <v>0.00041873975827143523</v>
      </c>
      <c r="U63" s="36">
        <f t="shared" si="15"/>
        <v>0.06036825968275916</v>
      </c>
      <c r="V63" s="36">
        <f>U63/(2*'Enter data'!$C$45)</f>
        <v>0.0004019648948025109</v>
      </c>
      <c r="W63" s="36">
        <f t="shared" si="17"/>
        <v>0.0034914188404672327</v>
      </c>
      <c r="Y63" s="8"/>
      <c r="Z63" s="8">
        <f>4*PI()^2*D63*'Enter data'!$C$82*'Enter data'!$E$14*'Enter data'!$E$15/LN('Enter data'!$C$44)</f>
        <v>1.9159123156869512E-10</v>
      </c>
      <c r="AA63" s="58">
        <f>27.28753*'Enter data'!$E$14^0.5*'Enter data'!$E$15*D63/'Enter data'!$C$83</f>
        <v>6.243814174986701E-08</v>
      </c>
      <c r="AB63" s="58">
        <f t="shared" si="14"/>
        <v>1.903137702690411E-08</v>
      </c>
      <c r="AC63" s="8"/>
      <c r="AD63" s="36">
        <f>2*PI()/'Enter data'!$E$10/LN($C$3/$C$2)</f>
        <v>4.19829126836701E-16</v>
      </c>
      <c r="AE63" s="52">
        <f>8.686*AD63*'Enter data'!$C$45/2</f>
        <v>1.3691559855720513E-13</v>
      </c>
      <c r="AF63" s="58">
        <f t="shared" si="8"/>
        <v>4.17323819060001E-14</v>
      </c>
      <c r="AH63" s="8">
        <f t="shared" si="16"/>
        <v>0.003491529514533275</v>
      </c>
      <c r="AI63" s="58">
        <f t="shared" si="9"/>
        <v>0.001064231137080369</v>
      </c>
    </row>
    <row r="64" spans="4:35" ht="12.75">
      <c r="D64" s="8">
        <f>D63*'Enter data'!$C$74</f>
        <v>4525.43546295637</v>
      </c>
      <c r="E64" s="36">
        <f t="shared" si="3"/>
        <v>4.5254354629563705E-06</v>
      </c>
      <c r="G64" s="8">
        <f t="shared" si="10"/>
        <v>0.0012179035060447695</v>
      </c>
      <c r="H64" s="8">
        <f t="shared" si="11"/>
        <v>0.000967693701229979</v>
      </c>
      <c r="I64" s="8">
        <f t="shared" si="12"/>
        <v>7.22536117253687E-07</v>
      </c>
      <c r="J64" s="8">
        <f t="shared" si="13"/>
        <v>6.951758759139849E-07</v>
      </c>
      <c r="K64" s="8">
        <f>'Enter data'!$C$83/D64</f>
        <v>66246.1017186072</v>
      </c>
      <c r="L64" s="8"/>
      <c r="M64" s="8">
        <f>1+(2.7182818^(-G64/2/'Enter data'!C$31))^1.6</f>
        <v>1.0000027986080733</v>
      </c>
      <c r="N64" s="8">
        <f>1+(2.7182818^(-H64/2/'Enter data'!D$31))^1.6</f>
        <v>1.000000000000058</v>
      </c>
      <c r="O64" s="8">
        <f t="shared" si="4"/>
        <v>0.03667657255274765</v>
      </c>
      <c r="P64" s="8">
        <f t="shared" si="5"/>
        <v>0.024065852368662988</v>
      </c>
      <c r="Q64" s="58">
        <f>8.686*O64/2/'Enter data'!C$45</f>
        <v>0.002121231359173233</v>
      </c>
      <c r="R64" s="58">
        <f>8.686*P64/2/'Enter data'!C$45</f>
        <v>0.0013918759899448937</v>
      </c>
      <c r="S64" s="58">
        <f t="shared" si="6"/>
        <v>0.0006465591804356355</v>
      </c>
      <c r="T64" s="58">
        <f t="shared" si="7"/>
        <v>0.0004242489606025645</v>
      </c>
      <c r="U64" s="36">
        <f t="shared" si="15"/>
        <v>0.06074242492141064</v>
      </c>
      <c r="V64" s="36">
        <f>U64/(2*'Enter data'!$C$45)</f>
        <v>0.0004044562916322964</v>
      </c>
      <c r="W64" s="36">
        <f t="shared" si="17"/>
        <v>0.0035130588143631306</v>
      </c>
      <c r="Y64" s="8"/>
      <c r="Z64" s="8">
        <f>4*PI()^2*D64*'Enter data'!$C$82*'Enter data'!$E$14*'Enter data'!$E$15/LN('Enter data'!$C$44)</f>
        <v>2.2671947990948592E-10</v>
      </c>
      <c r="AA64" s="58">
        <f>27.28753*'Enter data'!$E$14^0.5*'Enter data'!$E$15*D64/'Enter data'!$C$83</f>
        <v>7.388617374678229E-08</v>
      </c>
      <c r="AB64" s="58">
        <f t="shared" si="14"/>
        <v>2.252077961069931E-08</v>
      </c>
      <c r="AC64" s="8"/>
      <c r="AD64" s="36">
        <f>2*PI()/'Enter data'!$E$10/LN($C$3/$C$2)</f>
        <v>4.19829126836701E-16</v>
      </c>
      <c r="AE64" s="52">
        <f>8.686*AD64*'Enter data'!$C$45/2</f>
        <v>1.3691559855720513E-13</v>
      </c>
      <c r="AF64" s="58">
        <f t="shared" si="8"/>
        <v>4.17323819060001E-14</v>
      </c>
      <c r="AH64" s="8">
        <f t="shared" si="16"/>
        <v>0.0035131812354287895</v>
      </c>
      <c r="AI64" s="58">
        <f t="shared" si="9"/>
        <v>0.0010708306618595431</v>
      </c>
    </row>
    <row r="65" spans="4:35" ht="12.75">
      <c r="D65" s="8">
        <f>D64*'Enter data'!$C$74</f>
        <v>5355.173961380052</v>
      </c>
      <c r="E65" s="36">
        <f t="shared" si="3"/>
        <v>5.355173961380052E-06</v>
      </c>
      <c r="G65" s="8">
        <f t="shared" si="10"/>
        <v>0.00111958295236791</v>
      </c>
      <c r="H65" s="8">
        <f t="shared" si="11"/>
        <v>0.0008895724214879339</v>
      </c>
      <c r="I65" s="8">
        <f t="shared" si="12"/>
        <v>7.212187447601211E-07</v>
      </c>
      <c r="J65" s="8">
        <f t="shared" si="13"/>
        <v>6.854342727584983E-07</v>
      </c>
      <c r="K65" s="8">
        <f>'Enter data'!$C$83/D65</f>
        <v>55981.83367375467</v>
      </c>
      <c r="L65" s="8"/>
      <c r="M65" s="8">
        <f>1+(2.7182818^(-G65/2/'Enter data'!C$31))^1.6</f>
        <v>1.00000785663934</v>
      </c>
      <c r="N65" s="8">
        <f>1+(2.7182818^(-H65/2/'Enter data'!D$31))^1.6</f>
        <v>1.000000000000679</v>
      </c>
      <c r="O65" s="8">
        <f t="shared" si="4"/>
        <v>0.036743937392163695</v>
      </c>
      <c r="P65" s="8">
        <f t="shared" si="5"/>
        <v>0.024407883680361675</v>
      </c>
      <c r="Q65" s="58">
        <f>8.686*O65/2/'Enter data'!C$45</f>
        <v>0.002125127481409559</v>
      </c>
      <c r="R65" s="58">
        <f>8.686*P65/2/'Enter data'!C$45</f>
        <v>0.0014116577605329432</v>
      </c>
      <c r="S65" s="58">
        <f t="shared" si="6"/>
        <v>0.000647746732933906</v>
      </c>
      <c r="T65" s="58">
        <f t="shared" si="7"/>
        <v>0.00043027851759721506</v>
      </c>
      <c r="U65" s="36">
        <f t="shared" si="15"/>
        <v>0.06115182107252537</v>
      </c>
      <c r="V65" s="36">
        <f>U65/(2*'Enter data'!$C$45)</f>
        <v>0.0004071822751488029</v>
      </c>
      <c r="W65" s="36">
        <f t="shared" si="17"/>
        <v>0.0035367363800694837</v>
      </c>
      <c r="Y65" s="8"/>
      <c r="Z65" s="8">
        <f>4*PI()^2*D65*'Enter data'!$C$82*'Enter data'!$E$14*'Enter data'!$E$15/LN('Enter data'!$C$44)</f>
        <v>2.6828849185615096E-10</v>
      </c>
      <c r="AA65" s="58">
        <f>27.28753*'Enter data'!$E$14^0.5*'Enter data'!$E$15*D65/'Enter data'!$C$83</f>
        <v>8.743320217327461E-08</v>
      </c>
      <c r="AB65" s="58">
        <f t="shared" si="14"/>
        <v>2.6649964085977387E-08</v>
      </c>
      <c r="AC65" s="8"/>
      <c r="AD65" s="36">
        <f>2*PI()/'Enter data'!$E$10/LN($C$3/$C$2)</f>
        <v>4.19829126836701E-16</v>
      </c>
      <c r="AE65" s="52">
        <f>8.686*AD65*'Enter data'!$C$45/2</f>
        <v>1.3691559855720513E-13</v>
      </c>
      <c r="AF65" s="58">
        <f t="shared" si="8"/>
        <v>4.17323819060001E-14</v>
      </c>
      <c r="AH65" s="8">
        <f t="shared" si="16"/>
        <v>0.003536872675281591</v>
      </c>
      <c r="AI65" s="58">
        <f t="shared" si="9"/>
        <v>0.0010780519005369395</v>
      </c>
    </row>
    <row r="66" spans="4:35" ht="12.75">
      <c r="D66" s="8">
        <f>D65*'Enter data'!$C$74</f>
        <v>6337.044996308105</v>
      </c>
      <c r="E66" s="36">
        <f t="shared" si="3"/>
        <v>6.337044996308105E-06</v>
      </c>
      <c r="G66" s="8">
        <f t="shared" si="10"/>
        <v>0.0010291997526992662</v>
      </c>
      <c r="H66" s="8">
        <f t="shared" si="11"/>
        <v>0.0008177578215773041</v>
      </c>
      <c r="I66" s="8">
        <f t="shared" si="12"/>
        <v>7.19789323389722E-07</v>
      </c>
      <c r="J66" s="8">
        <f t="shared" si="13"/>
        <v>6.75076519703962E-07</v>
      </c>
      <c r="K66" s="8">
        <f>'Enter data'!$C$83/D66</f>
        <v>47307.92635599967</v>
      </c>
      <c r="L66" s="8"/>
      <c r="M66" s="8">
        <f>1+(2.7182818^(-G66/2/'Enter data'!C$31))^1.6</f>
        <v>1.0000202927549553</v>
      </c>
      <c r="N66" s="8">
        <f>1+(2.7182818^(-H66/2/'Enter data'!D$31))^1.6</f>
        <v>1.00000000000652</v>
      </c>
      <c r="O66" s="8">
        <f t="shared" si="4"/>
        <v>0.03681782247355801</v>
      </c>
      <c r="P66" s="8">
        <f t="shared" si="5"/>
        <v>0.02478237579282817</v>
      </c>
      <c r="Q66" s="58">
        <f>8.686*O66/2/'Enter data'!C$45</f>
        <v>0.0021294007092692037</v>
      </c>
      <c r="R66" s="58">
        <f>8.686*P66/2/'Enter data'!C$45</f>
        <v>0.0014333169385159594</v>
      </c>
      <c r="S66" s="58">
        <f t="shared" si="6"/>
        <v>0.0006490492286238734</v>
      </c>
      <c r="T66" s="58">
        <f t="shared" si="7"/>
        <v>0.00043688031532429874</v>
      </c>
      <c r="U66" s="36">
        <f t="shared" si="15"/>
        <v>0.061600198266386186</v>
      </c>
      <c r="V66" s="36">
        <f>U66/(2*'Enter data'!$C$45)</f>
        <v>0.0004101678157707994</v>
      </c>
      <c r="W66" s="36">
        <f t="shared" si="17"/>
        <v>0.0035626684276472706</v>
      </c>
      <c r="Y66" s="8"/>
      <c r="Z66" s="8">
        <f>4*PI()^2*D66*'Enter data'!$C$82*'Enter data'!$E$14*'Enter data'!$E$15/LN('Enter data'!$C$44)</f>
        <v>3.174791812824567E-10</v>
      </c>
      <c r="AA66" s="58">
        <f>27.28753*'Enter data'!$E$14^0.5*'Enter data'!$E$15*D66/'Enter data'!$C$83</f>
        <v>1.0346407798124245E-07</v>
      </c>
      <c r="AB66" s="58">
        <f t="shared" si="14"/>
        <v>3.15362344492936E-08</v>
      </c>
      <c r="AC66" s="8"/>
      <c r="AD66" s="36">
        <f>2*PI()/'Enter data'!$E$10/LN($C$3/$C$2)</f>
        <v>4.19829126836701E-16</v>
      </c>
      <c r="AE66" s="52">
        <f>8.686*AD66*'Enter data'!$C$45/2</f>
        <v>1.3691559855720513E-13</v>
      </c>
      <c r="AF66" s="58">
        <f t="shared" si="8"/>
        <v>4.17323819060001E-14</v>
      </c>
      <c r="AH66" s="8">
        <f t="shared" si="16"/>
        <v>0.00356282111200006</v>
      </c>
      <c r="AI66" s="58">
        <f t="shared" si="9"/>
        <v>0.0010859610802243537</v>
      </c>
    </row>
    <row r="67" spans="4:35" ht="12.75">
      <c r="D67" s="8">
        <f>D66*'Enter data'!$C$74</f>
        <v>7498.942065158357</v>
      </c>
      <c r="E67" s="36">
        <f t="shared" si="3"/>
        <v>7.498942065158357E-06</v>
      </c>
      <c r="G67" s="8">
        <f t="shared" si="10"/>
        <v>0.0009461131296398535</v>
      </c>
      <c r="H67" s="8">
        <f t="shared" si="11"/>
        <v>0.0007517407673591291</v>
      </c>
      <c r="I67" s="8">
        <f t="shared" si="12"/>
        <v>7.182386679001723E-07</v>
      </c>
      <c r="J67" s="8">
        <f t="shared" si="13"/>
        <v>6.640842583045009E-07</v>
      </c>
      <c r="K67" s="8">
        <f>'Enter data'!$C$83/D67</f>
        <v>39977.96694455049</v>
      </c>
      <c r="L67" s="8"/>
      <c r="M67" s="8">
        <f>1+(2.7182818^(-G67/2/'Enter data'!C$31))^1.6</f>
        <v>1.0000485485544104</v>
      </c>
      <c r="N67" s="8">
        <f>1+(2.7182818^(-H67/2/'Enter data'!D$31))^1.6</f>
        <v>1.0000000000521512</v>
      </c>
      <c r="O67" s="8">
        <f t="shared" si="4"/>
        <v>0.03689939614825476</v>
      </c>
      <c r="P67" s="8">
        <f t="shared" si="5"/>
        <v>0.02519258632098732</v>
      </c>
      <c r="Q67" s="58">
        <f>8.686*O67/2/'Enter data'!C$45</f>
        <v>0.002134118615682102</v>
      </c>
      <c r="R67" s="58">
        <f>8.686*P67/2/'Enter data'!C$45</f>
        <v>0.0014570419317645178</v>
      </c>
      <c r="S67" s="58">
        <f t="shared" si="6"/>
        <v>0.0006504872639850347</v>
      </c>
      <c r="T67" s="58">
        <f t="shared" si="7"/>
        <v>0.0004441117812010844</v>
      </c>
      <c r="U67" s="36">
        <f t="shared" si="15"/>
        <v>0.06209198246924208</v>
      </c>
      <c r="V67" s="36">
        <f>U67/(2*'Enter data'!$C$45)</f>
        <v>0.00041344238400260416</v>
      </c>
      <c r="W67" s="36">
        <f t="shared" si="17"/>
        <v>0.0035911109343605392</v>
      </c>
      <c r="Y67" s="8"/>
      <c r="Z67" s="8">
        <f>4*PI()^2*D67*'Enter data'!$C$82*'Enter data'!$E$14*'Enter data'!$E$15/LN('Enter data'!$C$44)</f>
        <v>3.7568898259647106E-10</v>
      </c>
      <c r="AA67" s="58">
        <f>27.28753*'Enter data'!$E$14^0.5*'Enter data'!$E$15*D67/'Enter data'!$C$83</f>
        <v>1.224342145366457E-07</v>
      </c>
      <c r="AB67" s="58">
        <f t="shared" si="14"/>
        <v>3.731840238254258E-08</v>
      </c>
      <c r="AC67" s="8"/>
      <c r="AD67" s="36">
        <f>2*PI()/'Enter data'!$E$10/LN($C$3/$C$2)</f>
        <v>4.19829126836701E-16</v>
      </c>
      <c r="AE67" s="52">
        <f>8.686*AD67*'Enter data'!$C$45/2</f>
        <v>1.3691559855720513E-13</v>
      </c>
      <c r="AF67" s="58">
        <f t="shared" si="8"/>
        <v>4.17323819060001E-14</v>
      </c>
      <c r="AH67" s="8">
        <f t="shared" si="16"/>
        <v>0.003591282981798072</v>
      </c>
      <c r="AI67" s="58">
        <f t="shared" si="9"/>
        <v>0.001094636363630234</v>
      </c>
    </row>
    <row r="68" spans="4:35" ht="12.75">
      <c r="D68" s="8">
        <f>D67*'Enter data'!$C$74</f>
        <v>8873.8729375226</v>
      </c>
      <c r="E68" s="36">
        <f t="shared" si="3"/>
        <v>8.8738729375226E-06</v>
      </c>
      <c r="G68" s="8">
        <f t="shared" si="10"/>
        <v>0.0008697340353311149</v>
      </c>
      <c r="H68" s="8">
        <f t="shared" si="11"/>
        <v>0.0006910532267605721</v>
      </c>
      <c r="I68" s="8">
        <f t="shared" si="12"/>
        <v>7.165569028204416E-07</v>
      </c>
      <c r="J68" s="8">
        <f t="shared" si="13"/>
        <v>6.524420882478114E-07</v>
      </c>
      <c r="K68" s="8">
        <f>'Enter data'!$C$83/D68</f>
        <v>33783.7221820415</v>
      </c>
      <c r="L68" s="8"/>
      <c r="M68" s="8">
        <f>1+(2.7182818^(-G68/2/'Enter data'!C$31))^1.6</f>
        <v>1.0001082501406116</v>
      </c>
      <c r="N68" s="8">
        <f>1+(2.7182818^(-H68/2/'Enter data'!D$31))^1.6</f>
        <v>1.0000000003526814</v>
      </c>
      <c r="O68" s="8">
        <f t="shared" si="4"/>
        <v>0.03699041550455039</v>
      </c>
      <c r="P68" s="8">
        <f t="shared" si="5"/>
        <v>0.025642122593179963</v>
      </c>
      <c r="Q68" s="58">
        <f>8.686*O68/2/'Enter data'!C$45</f>
        <v>0.002139382823851728</v>
      </c>
      <c r="R68" s="58">
        <f>8.686*P68/2/'Enter data'!C$45</f>
        <v>0.0014830413742230372</v>
      </c>
      <c r="S68" s="58">
        <f t="shared" si="6"/>
        <v>0.0006520918141464668</v>
      </c>
      <c r="T68" s="58">
        <f t="shared" si="7"/>
        <v>0.00045203650762711445</v>
      </c>
      <c r="U68" s="36">
        <f t="shared" si="15"/>
        <v>0.06263253809773035</v>
      </c>
      <c r="V68" s="36">
        <f>U68/(2*'Enter data'!$C$45)</f>
        <v>0.00041704169906455965</v>
      </c>
      <c r="W68" s="36">
        <f t="shared" si="17"/>
        <v>0.003622374153070877</v>
      </c>
      <c r="Y68" s="8"/>
      <c r="Z68" s="8">
        <f>4*PI()^2*D68*'Enter data'!$C$82*'Enter data'!$E$14*'Enter data'!$E$15/LN('Enter data'!$C$44)</f>
        <v>4.445715497760446E-10</v>
      </c>
      <c r="AA68" s="58">
        <f>27.28753*'Enter data'!$E$14^0.5*'Enter data'!$E$15*D68/'Enter data'!$C$83</f>
        <v>1.4488252523666258E-07</v>
      </c>
      <c r="AB68" s="58">
        <f t="shared" si="14"/>
        <v>4.41607306866199E-08</v>
      </c>
      <c r="AC68" s="8"/>
      <c r="AD68" s="36">
        <f>2*PI()/'Enter data'!$E$10/LN($C$3/$C$2)</f>
        <v>4.19829126836701E-16</v>
      </c>
      <c r="AE68" s="52">
        <f>8.686*AD68*'Enter data'!$C$45/2</f>
        <v>1.3691559855720513E-13</v>
      </c>
      <c r="AF68" s="58">
        <f t="shared" si="8"/>
        <v>4.17323819060001E-14</v>
      </c>
      <c r="AH68" s="8">
        <f t="shared" si="16"/>
        <v>0.0036225690807369175</v>
      </c>
      <c r="AI68" s="58">
        <f t="shared" si="9"/>
        <v>0.0011041724825460002</v>
      </c>
    </row>
    <row r="69" spans="4:35" ht="12.75">
      <c r="D69" s="8">
        <f>D68*'Enter data'!$C$74</f>
        <v>10500.897356863774</v>
      </c>
      <c r="E69" s="36">
        <f t="shared" si="3"/>
        <v>1.0500897356863774E-05</v>
      </c>
      <c r="G69" s="8">
        <f t="shared" si="10"/>
        <v>0.0007995209753629461</v>
      </c>
      <c r="H69" s="8">
        <f t="shared" si="11"/>
        <v>0.0006352649516319986</v>
      </c>
      <c r="I69" s="8">
        <f t="shared" si="12"/>
        <v>7.147334221547108E-07</v>
      </c>
      <c r="J69" s="8">
        <f t="shared" si="13"/>
        <v>6.401382171866445E-07</v>
      </c>
      <c r="K69" s="8">
        <f>'Enter data'!$C$83/D69</f>
        <v>28549.22277704625</v>
      </c>
      <c r="L69" s="8"/>
      <c r="M69" s="8">
        <f>1+(2.7182818^(-G69/2/'Enter data'!C$31))^1.6</f>
        <v>1.000226238475589</v>
      </c>
      <c r="N69" s="8">
        <f>1+(2.7182818^(-H69/2/'Enter data'!D$31))^1.6</f>
        <v>1.0000000020440254</v>
      </c>
      <c r="O69" s="8">
        <f t="shared" si="4"/>
        <v>0.037093538896855176</v>
      </c>
      <c r="P69" s="8">
        <f t="shared" si="5"/>
        <v>0.026134980882597643</v>
      </c>
      <c r="Q69" s="58">
        <f>8.686*O69/2/'Enter data'!C$45</f>
        <v>0.0021453470827340606</v>
      </c>
      <c r="R69" s="58">
        <f>8.686*P69/2/'Enter data'!C$45</f>
        <v>0.0015115463949045003</v>
      </c>
      <c r="S69" s="58">
        <f t="shared" si="6"/>
        <v>0.0006539097423598088</v>
      </c>
      <c r="T69" s="58">
        <f t="shared" si="7"/>
        <v>0.0004607249435822056</v>
      </c>
      <c r="U69" s="36">
        <f t="shared" si="15"/>
        <v>0.06322851977945282</v>
      </c>
      <c r="V69" s="36">
        <f>U69/(2*'Enter data'!$C$45)</f>
        <v>0.0004210100711073637</v>
      </c>
      <c r="W69" s="36">
        <f t="shared" si="17"/>
        <v>0.0036568429564300276</v>
      </c>
      <c r="Y69" s="8"/>
      <c r="Z69" s="8">
        <f>4*PI()^2*D69*'Enter data'!$C$82*'Enter data'!$E$14*'Enter data'!$E$15/LN('Enter data'!$C$44)</f>
        <v>5.260837342216239E-10</v>
      </c>
      <c r="AA69" s="58">
        <f>27.28753*'Enter data'!$E$14^0.5*'Enter data'!$E$15*D69/'Enter data'!$C$83</f>
        <v>1.7144673323868454E-07</v>
      </c>
      <c r="AB69" s="58">
        <f t="shared" si="14"/>
        <v>5.225759974356393E-08</v>
      </c>
      <c r="AC69" s="8"/>
      <c r="AD69" s="36">
        <f>2*PI()/'Enter data'!$E$10/LN($C$3/$C$2)</f>
        <v>4.19829126836701E-16</v>
      </c>
      <c r="AE69" s="52">
        <f>8.686*AD69*'Enter data'!$C$45/2</f>
        <v>1.3691559855720513E-13</v>
      </c>
      <c r="AF69" s="58">
        <f t="shared" si="8"/>
        <v>4.17323819060001E-14</v>
      </c>
      <c r="AH69" s="8">
        <f t="shared" si="16"/>
        <v>0.0036570649245087155</v>
      </c>
      <c r="AI69" s="58">
        <f t="shared" si="9"/>
        <v>0.0011146869435834904</v>
      </c>
    </row>
    <row r="70" spans="4:35" ht="12.75">
      <c r="D70" s="8">
        <f>D69*'Enter data'!$C$74</f>
        <v>12426.236669799935</v>
      </c>
      <c r="E70" s="36">
        <f t="shared" si="3"/>
        <v>1.2426236669799936E-05</v>
      </c>
      <c r="G70" s="8">
        <f t="shared" si="10"/>
        <v>0.0007349761698148963</v>
      </c>
      <c r="H70" s="8">
        <f t="shared" si="11"/>
        <v>0.0005839804274755622</v>
      </c>
      <c r="I70" s="8">
        <f t="shared" si="12"/>
        <v>7.127568489873657E-07</v>
      </c>
      <c r="J70" s="8">
        <f t="shared" si="13"/>
        <v>6.271651508337792E-07</v>
      </c>
      <c r="K70" s="8">
        <f>'Enter data'!$C$83/D70</f>
        <v>24125.764377931064</v>
      </c>
      <c r="L70" s="8"/>
      <c r="M70" s="8">
        <f>1+(2.7182818^(-G70/2/'Enter data'!C$31))^1.6</f>
        <v>1.0004455125385239</v>
      </c>
      <c r="N70" s="8">
        <f>1+(2.7182818^(-H70/2/'Enter data'!D$31))^1.6</f>
        <v>1.0000000102798092</v>
      </c>
      <c r="O70" s="8">
        <f t="shared" si="4"/>
        <v>0.03721271491390412</v>
      </c>
      <c r="P70" s="8">
        <f t="shared" si="5"/>
        <v>0.026675589869304548</v>
      </c>
      <c r="Q70" s="58">
        <f>8.686*O70/2/'Enter data'!C$45</f>
        <v>0.0021522397634572117</v>
      </c>
      <c r="R70" s="58">
        <f>8.686*P70/2/'Enter data'!C$45</f>
        <v>0.001542813131566011</v>
      </c>
      <c r="S70" s="58">
        <f t="shared" si="6"/>
        <v>0.0006560106569913471</v>
      </c>
      <c r="T70" s="58">
        <f t="shared" si="7"/>
        <v>0.0004702551608040755</v>
      </c>
      <c r="U70" s="36">
        <f t="shared" si="15"/>
        <v>0.06388830478320867</v>
      </c>
      <c r="V70" s="36">
        <f>U70/(2*'Enter data'!$C$45)</f>
        <v>0.0004254032805691023</v>
      </c>
      <c r="W70" s="36">
        <f t="shared" si="17"/>
        <v>0.003695001846629554</v>
      </c>
      <c r="Y70" s="8"/>
      <c r="Z70" s="8">
        <f>4*PI()^2*D70*'Enter data'!$C$82*'Enter data'!$E$14*'Enter data'!$E$15/LN('Enter data'!$C$44)</f>
        <v>6.225411759974059E-10</v>
      </c>
      <c r="AA70" s="58">
        <f>27.28753*'Enter data'!$E$14^0.5*'Enter data'!$E$15*D70/'Enter data'!$C$83</f>
        <v>2.0288148822780527E-07</v>
      </c>
      <c r="AB70" s="58">
        <f t="shared" si="14"/>
        <v>6.183902957443466E-08</v>
      </c>
      <c r="AC70" s="8"/>
      <c r="AD70" s="36">
        <f>2*PI()/'Enter data'!$E$10/LN($C$3/$C$2)</f>
        <v>4.19829126836701E-16</v>
      </c>
      <c r="AE70" s="52">
        <f>8.686*AD70*'Enter data'!$C$45/2</f>
        <v>1.3691559855720513E-13</v>
      </c>
      <c r="AF70" s="58">
        <f t="shared" si="8"/>
        <v>4.17323819060001E-14</v>
      </c>
      <c r="AH70" s="8">
        <f t="shared" si="16"/>
        <v>0.0036952557766483664</v>
      </c>
      <c r="AI70" s="58">
        <f t="shared" si="9"/>
        <v>0.0011263276568667295</v>
      </c>
    </row>
    <row r="71" spans="4:35" ht="12.75">
      <c r="D71" s="8">
        <f>D70*'Enter data'!$C$74</f>
        <v>14704.586905894439</v>
      </c>
      <c r="E71" s="36">
        <f t="shared" si="3"/>
        <v>1.4704586905894439E-05</v>
      </c>
      <c r="G71" s="8">
        <f t="shared" si="10"/>
        <v>0.0006756420242140036</v>
      </c>
      <c r="H71" s="8">
        <f t="shared" si="11"/>
        <v>0.0005368360694202076</v>
      </c>
      <c r="I71" s="8">
        <f t="shared" si="12"/>
        <v>7.106149955322148E-07</v>
      </c>
      <c r="J71" s="8">
        <f t="shared" si="13"/>
        <v>6.135204107642598E-07</v>
      </c>
      <c r="K71" s="8">
        <f>'Enter data'!$C$83/D71</f>
        <v>20387.683103142874</v>
      </c>
      <c r="L71" s="8"/>
      <c r="M71" s="8">
        <f>1+(2.7182818^(-G71/2/'Enter data'!C$31))^1.6</f>
        <v>1.0008306064090238</v>
      </c>
      <c r="N71" s="8">
        <f>1+(2.7182818^(-H71/2/'Enter data'!D$31))^1.6</f>
        <v>1.0000000453787237</v>
      </c>
      <c r="O71" s="8">
        <f t="shared" si="4"/>
        <v>0.0373536170628285</v>
      </c>
      <c r="P71" s="8">
        <f t="shared" si="5"/>
        <v>0.027268858908103214</v>
      </c>
      <c r="Q71" s="58">
        <f>8.686*O71/2/'Enter data'!C$45</f>
        <v>0.002160388999769941</v>
      </c>
      <c r="R71" s="58">
        <f>8.686*P71/2/'Enter data'!C$45</f>
        <v>0.0015771255223357972</v>
      </c>
      <c r="S71" s="58">
        <f t="shared" si="6"/>
        <v>0.000658494574423903</v>
      </c>
      <c r="T71" s="58">
        <f t="shared" si="7"/>
        <v>0.00048071370468659994</v>
      </c>
      <c r="U71" s="36">
        <f t="shared" si="15"/>
        <v>0.06462247597093171</v>
      </c>
      <c r="V71" s="36">
        <f>U71/(2*'Enter data'!$C$45)</f>
        <v>0.00043029179393342596</v>
      </c>
      <c r="W71" s="36">
        <f t="shared" si="17"/>
        <v>0.0037374628870904657</v>
      </c>
      <c r="Y71" s="8"/>
      <c r="Z71" s="8">
        <f>4*PI()^2*D71*'Enter data'!$C$82*'Enter data'!$E$14*'Enter data'!$E$15/LN('Enter data'!$C$44)</f>
        <v>7.366840877254082E-10</v>
      </c>
      <c r="AA71" s="58">
        <f>27.28753*'Enter data'!$E$14^0.5*'Enter data'!$E$15*D71/'Enter data'!$C$83</f>
        <v>2.400798048932536E-07</v>
      </c>
      <c r="AB71" s="58">
        <f t="shared" si="14"/>
        <v>7.317721436639039E-08</v>
      </c>
      <c r="AC71" s="8"/>
      <c r="AD71" s="36">
        <f>2*PI()/'Enter data'!$E$10/LN($C$3/$C$2)</f>
        <v>4.19829126836701E-16</v>
      </c>
      <c r="AE71" s="52">
        <f>8.686*AD71*'Enter data'!$C$45/2</f>
        <v>1.3691559855720513E-13</v>
      </c>
      <c r="AF71" s="58">
        <f t="shared" si="8"/>
        <v>4.17323819060001E-14</v>
      </c>
      <c r="AH71" s="8">
        <f t="shared" si="16"/>
        <v>0.0037377546020475466</v>
      </c>
      <c r="AI71" s="58">
        <f t="shared" si="9"/>
        <v>0.0011392814563666016</v>
      </c>
    </row>
    <row r="72" spans="4:35" ht="12.75">
      <c r="D72" s="8">
        <f>D71*'Enter data'!$C$74</f>
        <v>17400.67261059848</v>
      </c>
      <c r="E72" s="36">
        <f t="shared" si="3"/>
        <v>1.740067261059848E-05</v>
      </c>
      <c r="G72" s="8">
        <f t="shared" si="10"/>
        <v>0.0006210978853898946</v>
      </c>
      <c r="H72" s="8">
        <f t="shared" si="11"/>
        <v>0.0004934976445637776</v>
      </c>
      <c r="I72" s="8">
        <f t="shared" si="12"/>
        <v>7.082948242968781E-07</v>
      </c>
      <c r="J72" s="8">
        <f t="shared" si="13"/>
        <v>5.992072629288204E-07</v>
      </c>
      <c r="K72" s="8">
        <f>'Enter data'!$C$83/D72</f>
        <v>17228.785617022702</v>
      </c>
      <c r="L72" s="8"/>
      <c r="M72" s="8">
        <f>1+(2.7182818^(-G72/2/'Enter data'!C$31))^1.6</f>
        <v>1.0014726192820456</v>
      </c>
      <c r="N72" s="8">
        <f>1+(2.7182818^(-H72/2/'Enter data'!D$31))^1.6</f>
        <v>1.0000001776886924</v>
      </c>
      <c r="O72" s="8">
        <f t="shared" si="4"/>
        <v>0.037524072431889474</v>
      </c>
      <c r="P72" s="8">
        <f t="shared" si="5"/>
        <v>0.027920232247671418</v>
      </c>
      <c r="Q72" s="58">
        <f>8.686*O72/2/'Enter data'!C$45</f>
        <v>0.0021702474802392257</v>
      </c>
      <c r="R72" s="58">
        <f>8.686*P72/2/'Enter data'!C$45</f>
        <v>0.0016147984415387654</v>
      </c>
      <c r="S72" s="58">
        <f t="shared" si="6"/>
        <v>0.0006614994758105419</v>
      </c>
      <c r="T72" s="58">
        <f t="shared" si="7"/>
        <v>0.0004921965500910648</v>
      </c>
      <c r="U72" s="36">
        <f t="shared" si="15"/>
        <v>0.06544430467956089</v>
      </c>
      <c r="V72" s="36">
        <f>U72/(2*'Enter data'!$C$45)</f>
        <v>0.0004357639790211825</v>
      </c>
      <c r="W72" s="36">
        <f t="shared" si="17"/>
        <v>0.0037849936301005086</v>
      </c>
      <c r="Y72" s="8"/>
      <c r="Z72" s="8">
        <f>4*PI()^2*D72*'Enter data'!$C$82*'Enter data'!$E$14*'Enter data'!$E$15/LN('Enter data'!$C$44)</f>
        <v>8.717550999551528E-10</v>
      </c>
      <c r="AA72" s="58">
        <f>27.28753*'Enter data'!$E$14^0.5*'Enter data'!$E$15*D72/'Enter data'!$C$83</f>
        <v>2.8409843214903676E-07</v>
      </c>
      <c r="AB72" s="58">
        <f t="shared" si="14"/>
        <v>8.659425510516848E-08</v>
      </c>
      <c r="AC72" s="8"/>
      <c r="AD72" s="36">
        <f>2*PI()/'Enter data'!$E$10/LN($C$3/$C$2)</f>
        <v>4.19829126836701E-16</v>
      </c>
      <c r="AE72" s="52">
        <f>8.686*AD72*'Enter data'!$C$45/2</f>
        <v>1.3691559855720513E-13</v>
      </c>
      <c r="AF72" s="58">
        <f t="shared" si="8"/>
        <v>4.17323819060001E-14</v>
      </c>
      <c r="AH72" s="8">
        <f t="shared" si="16"/>
        <v>0.0037853300203470556</v>
      </c>
      <c r="AI72" s="58">
        <f t="shared" si="9"/>
        <v>0.0011537826201984441</v>
      </c>
    </row>
    <row r="73" spans="4:35" ht="12.75">
      <c r="D73" s="8">
        <f>D72*'Enter data'!$C$74</f>
        <v>20591.08557343146</v>
      </c>
      <c r="E73" s="36">
        <f t="shared" si="3"/>
        <v>2.0591085573431462E-05</v>
      </c>
      <c r="G73" s="8">
        <f t="shared" si="10"/>
        <v>0.0005709570592275826</v>
      </c>
      <c r="H73" s="8">
        <f t="shared" si="11"/>
        <v>0.00045365790240775746</v>
      </c>
      <c r="I73" s="8">
        <f t="shared" si="12"/>
        <v>7.057824111810451E-07</v>
      </c>
      <c r="J73" s="8">
        <f t="shared" si="13"/>
        <v>5.842354350465545E-07</v>
      </c>
      <c r="K73" s="8">
        <f>'Enter data'!$C$83/D73</f>
        <v>14559.332334902254</v>
      </c>
      <c r="L73" s="8"/>
      <c r="M73" s="8">
        <f>1+(2.7182818^(-G73/2/'Enter data'!C$31))^1.6</f>
        <v>1.0024929219772707</v>
      </c>
      <c r="N73" s="8">
        <f>1+(2.7182818^(-H73/2/'Enter data'!D$31))^1.6</f>
        <v>1.0000006231754595</v>
      </c>
      <c r="O73" s="8">
        <f t="shared" si="4"/>
        <v>0.03773441946324349</v>
      </c>
      <c r="P73" s="8">
        <f t="shared" si="5"/>
        <v>0.028635751698498482</v>
      </c>
      <c r="Q73" s="58">
        <f>8.686*O73/2/'Enter data'!C$45</f>
        <v>0.0021824131404457633</v>
      </c>
      <c r="R73" s="58">
        <f>8.686*P73/2/'Enter data'!C$45</f>
        <v>0.001656181324167995</v>
      </c>
      <c r="S73" s="58">
        <f t="shared" si="6"/>
        <v>0.0006652076141324565</v>
      </c>
      <c r="T73" s="58">
        <f t="shared" si="7"/>
        <v>0.000504810206098511</v>
      </c>
      <c r="U73" s="36">
        <f t="shared" si="15"/>
        <v>0.06637017116174197</v>
      </c>
      <c r="V73" s="36">
        <f>U73/(2*'Enter data'!$C$45)</f>
        <v>0.0004419289045145934</v>
      </c>
      <c r="W73" s="36">
        <f t="shared" si="17"/>
        <v>0.0038385414331452163</v>
      </c>
      <c r="Y73" s="8"/>
      <c r="Z73" s="8">
        <f>4*PI()^2*D73*'Enter data'!$C$82*'Enter data'!$E$14*'Enter data'!$E$15/LN('Enter data'!$C$44)</f>
        <v>1.0315913794802707E-09</v>
      </c>
      <c r="AA73" s="58">
        <f>27.28753*'Enter data'!$E$14^0.5*'Enter data'!$E$15*D73/'Enter data'!$C$83</f>
        <v>3.3618787380066256E-07</v>
      </c>
      <c r="AB73" s="58">
        <f t="shared" si="14"/>
        <v>1.0247130998557137E-07</v>
      </c>
      <c r="AC73" s="8"/>
      <c r="AD73" s="36">
        <f>2*PI()/'Enter data'!$E$10/LN($C$3/$C$2)</f>
        <v>4.19829126836701E-16</v>
      </c>
      <c r="AE73" s="52">
        <f>8.686*AD73*'Enter data'!$C$45/2</f>
        <v>1.3691559855720513E-13</v>
      </c>
      <c r="AF73" s="58">
        <f t="shared" si="8"/>
        <v>4.17323819060001E-14</v>
      </c>
      <c r="AH73" s="8">
        <f t="shared" si="16"/>
        <v>0.003838930652624475</v>
      </c>
      <c r="AI73" s="58">
        <f t="shared" si="9"/>
        <v>0.0011701202915826855</v>
      </c>
    </row>
    <row r="74" spans="4:35" ht="12.75">
      <c r="D74" s="8">
        <f>D73*'Enter data'!$C$74</f>
        <v>24366.460686935156</v>
      </c>
      <c r="E74" s="36">
        <f t="shared" si="3"/>
        <v>2.4366460686935157E-05</v>
      </c>
      <c r="G74" s="8">
        <f t="shared" si="10"/>
        <v>0.000524864069175131</v>
      </c>
      <c r="H74" s="8">
        <f t="shared" si="11"/>
        <v>0.00041703439658547116</v>
      </c>
      <c r="I74" s="8">
        <f t="shared" si="12"/>
        <v>7.030629114973932E-07</v>
      </c>
      <c r="J74" s="8">
        <f t="shared" si="13"/>
        <v>5.68621796020078E-07</v>
      </c>
      <c r="K74" s="8">
        <f>'Enter data'!$C$83/D74</f>
        <v>12303.48805482214</v>
      </c>
      <c r="L74" s="8"/>
      <c r="M74" s="8">
        <f>1+(2.7182818^(-G74/2/'Enter data'!C$31))^1.6</f>
        <v>1.0040445544993954</v>
      </c>
      <c r="N74" s="8">
        <f>1+(2.7182818^(-H74/2/'Enter data'!D$31))^1.6</f>
        <v>1.000001975001328</v>
      </c>
      <c r="O74" s="8">
        <f t="shared" si="4"/>
        <v>0.037997730288075536</v>
      </c>
      <c r="P74" s="8">
        <f t="shared" si="5"/>
        <v>0.02942213295499309</v>
      </c>
      <c r="Q74" s="58">
        <f>8.686*O74/2/'Enter data'!C$45</f>
        <v>0.002197642021989703</v>
      </c>
      <c r="R74" s="58">
        <f>8.686*P74/2/'Enter data'!C$45</f>
        <v>0.0017016625800607963</v>
      </c>
      <c r="S74" s="58">
        <f t="shared" si="6"/>
        <v>0.0006698494336715749</v>
      </c>
      <c r="T74" s="58">
        <f t="shared" si="7"/>
        <v>0.0005186730614669581</v>
      </c>
      <c r="U74" s="36">
        <f t="shared" si="15"/>
        <v>0.06741986324306863</v>
      </c>
      <c r="V74" s="36">
        <f>U74/(2*'Enter data'!$C$45)</f>
        <v>0.00044891832858053184</v>
      </c>
      <c r="W74" s="36">
        <f t="shared" si="17"/>
        <v>0.0038992507318510697</v>
      </c>
      <c r="Y74" s="8"/>
      <c r="Z74" s="8">
        <f>4*PI()^2*D74*'Enter data'!$C$82*'Enter data'!$E$14*'Enter data'!$E$15/LN('Enter data'!$C$44)</f>
        <v>1.2207336375465476E-09</v>
      </c>
      <c r="AA74" s="58">
        <f>27.28753*'Enter data'!$E$14^0.5*'Enter data'!$E$15*D74/'Enter data'!$C$83</f>
        <v>3.978279135004843E-07</v>
      </c>
      <c r="AB74" s="58">
        <f t="shared" si="14"/>
        <v>1.2125942254952582E-07</v>
      </c>
      <c r="AC74" s="8"/>
      <c r="AD74" s="36">
        <f>2*PI()/'Enter data'!$E$10/LN($C$3/$C$2)</f>
        <v>4.19829126836701E-16</v>
      </c>
      <c r="AE74" s="52">
        <f>8.686*AD74*'Enter data'!$C$45/2</f>
        <v>1.3691559855720513E-13</v>
      </c>
      <c r="AF74" s="58">
        <f t="shared" si="8"/>
        <v>4.17323819060001E-14</v>
      </c>
      <c r="AH74" s="8">
        <f t="shared" si="16"/>
        <v>0.0038997024301009155</v>
      </c>
      <c r="AI74" s="58">
        <f t="shared" si="9"/>
        <v>0.001188643754602815</v>
      </c>
    </row>
    <row r="75" spans="4:35" ht="12.75">
      <c r="D75" s="8">
        <f>D74*'Enter data'!$C$74</f>
        <v>28834.05074932208</v>
      </c>
      <c r="E75" s="36">
        <f t="shared" si="3"/>
        <v>2.8834050749322078E-05</v>
      </c>
      <c r="G75" s="8">
        <f t="shared" si="10"/>
        <v>0.0004824921360702013</v>
      </c>
      <c r="H75" s="8">
        <f t="shared" si="11"/>
        <v>0.00038336748244073826</v>
      </c>
      <c r="I75" s="8">
        <f t="shared" si="12"/>
        <v>7.001205300982037E-07</v>
      </c>
      <c r="J75" s="8">
        <f t="shared" si="13"/>
        <v>5.523909656079171E-07</v>
      </c>
      <c r="K75" s="8">
        <f>'Enter data'!$C$83/D75</f>
        <v>10397.167592106303</v>
      </c>
      <c r="L75" s="8"/>
      <c r="M75" s="8">
        <f>1+(2.7182818^(-G75/2/'Enter data'!C$31))^1.6</f>
        <v>1.0063105390137879</v>
      </c>
      <c r="N75" s="8">
        <f>1+(2.7182818^(-H75/2/'Enter data'!D$31))^1.6</f>
        <v>1.0000057027260123</v>
      </c>
      <c r="O75" s="8">
        <f t="shared" si="4"/>
        <v>0.03832984853463261</v>
      </c>
      <c r="P75" s="8">
        <f t="shared" si="5"/>
        <v>0.03028686538228327</v>
      </c>
      <c r="Q75" s="58">
        <f>8.686*O75/2/'Enter data'!C$45</f>
        <v>0.0022168504591613416</v>
      </c>
      <c r="R75" s="58">
        <f>8.686*P75/2/'Enter data'!C$45</f>
        <v>0.001751675365181976</v>
      </c>
      <c r="S75" s="58">
        <f t="shared" si="6"/>
        <v>0.0006757042365158929</v>
      </c>
      <c r="T75" s="58">
        <f t="shared" si="7"/>
        <v>0.0005339171437399342</v>
      </c>
      <c r="U75" s="36">
        <f t="shared" si="15"/>
        <v>0.06861671391691587</v>
      </c>
      <c r="V75" s="36">
        <f>U75/(2*'Enter data'!$C$45)</f>
        <v>0.00045688761505218936</v>
      </c>
      <c r="W75" s="36">
        <f t="shared" si="17"/>
        <v>0.00396847099782951</v>
      </c>
      <c r="Y75" s="8"/>
      <c r="Z75" s="8">
        <f>4*PI()^2*D75*'Enter data'!$C$82*'Enter data'!$E$14*'Enter data'!$E$15/LN('Enter data'!$C$44)</f>
        <v>1.4445551247126578E-09</v>
      </c>
      <c r="AA75" s="58">
        <f>27.28753*'Enter data'!$E$14^0.5*'Enter data'!$E$15*D75/'Enter data'!$C$83</f>
        <v>4.7076965320287205E-07</v>
      </c>
      <c r="AB75" s="58">
        <f t="shared" si="14"/>
        <v>1.4349233516303097E-07</v>
      </c>
      <c r="AC75" s="8"/>
      <c r="AD75" s="36">
        <f>2*PI()/'Enter data'!$E$10/LN($C$3/$C$2)</f>
        <v>4.19829126836701E-16</v>
      </c>
      <c r="AE75" s="52">
        <f>8.686*AD75*'Enter data'!$C$45/2</f>
        <v>1.3691559855720513E-13</v>
      </c>
      <c r="AF75" s="58">
        <f t="shared" si="8"/>
        <v>4.17323819060001E-14</v>
      </c>
      <c r="AH75" s="8">
        <f t="shared" si="16"/>
        <v>0.003968996594133437</v>
      </c>
      <c r="AI75" s="58">
        <f t="shared" si="9"/>
        <v>0.0012097648726327227</v>
      </c>
    </row>
    <row r="76" spans="4:35" ht="12.75">
      <c r="D76" s="8">
        <f>D75*'Enter data'!$C$74</f>
        <v>34120.773357136095</v>
      </c>
      <c r="E76" s="36">
        <f t="shared" si="3"/>
        <v>3.4120773357136094E-05</v>
      </c>
      <c r="G76" s="8">
        <f t="shared" si="10"/>
        <v>0.00044354086141855495</v>
      </c>
      <c r="H76" s="8">
        <f t="shared" si="11"/>
        <v>0.00035241847626069404</v>
      </c>
      <c r="I76" s="8">
        <f t="shared" si="12"/>
        <v>6.969384970107591E-07</v>
      </c>
      <c r="J76" s="8">
        <f t="shared" si="13"/>
        <v>5.355758182099595E-07</v>
      </c>
      <c r="K76" s="8">
        <f>'Enter data'!$C$83/D76</f>
        <v>8786.215214471413</v>
      </c>
      <c r="L76" s="8"/>
      <c r="M76" s="8">
        <f>1+(2.7182818^(-G76/2/'Enter data'!C$31))^1.6</f>
        <v>1.0094987323936935</v>
      </c>
      <c r="N76" s="8">
        <f>1+(2.7182818^(-H76/2/'Enter data'!D$31))^1.6</f>
        <v>1.0000151154310564</v>
      </c>
      <c r="O76" s="8">
        <f t="shared" si="4"/>
        <v>0.03874922094201901</v>
      </c>
      <c r="P76" s="8">
        <f t="shared" si="5"/>
        <v>0.031238351690454344</v>
      </c>
      <c r="Q76" s="58">
        <f>8.686*O76/2/'Enter data'!C$45</f>
        <v>0.0022411053401331284</v>
      </c>
      <c r="R76" s="58">
        <f>8.686*P76/2/'Enter data'!C$45</f>
        <v>0.0018067056598425181</v>
      </c>
      <c r="S76" s="58">
        <f t="shared" si="6"/>
        <v>0.0006830972141347014</v>
      </c>
      <c r="T76" s="58">
        <f t="shared" si="7"/>
        <v>0.0005506905815174707</v>
      </c>
      <c r="U76" s="36">
        <f t="shared" si="15"/>
        <v>0.06998757263247335</v>
      </c>
      <c r="V76" s="36">
        <f>U76/(2*'Enter data'!$C$45)</f>
        <v>0.0004660155422490958</v>
      </c>
      <c r="W76" s="36">
        <f t="shared" si="17"/>
        <v>0.004047755078110575</v>
      </c>
      <c r="Y76" s="8"/>
      <c r="Z76" s="8">
        <f>4*PI()^2*D76*'Enter data'!$C$82*'Enter data'!$E$14*'Enter data'!$E$15/LN('Enter data'!$C$44)</f>
        <v>1.709414276915945E-09</v>
      </c>
      <c r="AA76" s="58">
        <f>27.28753*'Enter data'!$E$14^0.5*'Enter data'!$E$15*D76/'Enter data'!$C$83</f>
        <v>5.57085259369269E-07</v>
      </c>
      <c r="AB76" s="58">
        <f t="shared" si="14"/>
        <v>1.698016518438396E-07</v>
      </c>
      <c r="AC76" s="8"/>
      <c r="AD76" s="36">
        <f>2*PI()/'Enter data'!$E$10/LN($C$3/$C$2)</f>
        <v>4.19829126836701E-16</v>
      </c>
      <c r="AE76" s="52">
        <f>8.686*AD76*'Enter data'!$C$45/2</f>
        <v>1.3691559855720513E-13</v>
      </c>
      <c r="AF76" s="58">
        <f t="shared" si="8"/>
        <v>4.17323819060001E-14</v>
      </c>
      <c r="AH76" s="8">
        <f t="shared" si="16"/>
        <v>0.004048368085371931</v>
      </c>
      <c r="AI76" s="58">
        <f t="shared" si="9"/>
        <v>0.0012339575973457483</v>
      </c>
    </row>
    <row r="77" spans="4:35" ht="12.75">
      <c r="D77" s="8">
        <f>D76*'Enter data'!$C$74</f>
        <v>40376.816445619275</v>
      </c>
      <c r="E77" s="36">
        <f t="shared" si="3"/>
        <v>4.0376816445619276E-05</v>
      </c>
      <c r="G77" s="8">
        <f t="shared" si="10"/>
        <v>0.0004077340976999681</v>
      </c>
      <c r="H77" s="8">
        <f t="shared" si="11"/>
        <v>0.00032396796311254245</v>
      </c>
      <c r="I77" s="8">
        <f t="shared" si="12"/>
        <v>6.934990502315727E-07</v>
      </c>
      <c r="J77" s="8">
        <f t="shared" si="13"/>
        <v>5.182178412944722E-07</v>
      </c>
      <c r="K77" s="8">
        <f>'Enter data'!$C$83/D77</f>
        <v>7424.86615812739</v>
      </c>
      <c r="L77" s="8"/>
      <c r="M77" s="8">
        <f>1+(2.7182818^(-G77/2/'Enter data'!C$31))^1.6</f>
        <v>1.0138333505350683</v>
      </c>
      <c r="N77" s="8">
        <f>1+(2.7182818^(-H77/2/'Enter data'!D$31))^1.6</f>
        <v>1.0000370324772507</v>
      </c>
      <c r="O77" s="8">
        <f t="shared" si="4"/>
        <v>0.03927653347372204</v>
      </c>
      <c r="P77" s="8">
        <f t="shared" si="5"/>
        <v>0.03228611173987937</v>
      </c>
      <c r="Q77" s="58">
        <f>8.686*O77/2/'Enter data'!C$45</f>
        <v>0.002271603061170851</v>
      </c>
      <c r="R77" s="58">
        <f>8.686*P77/2/'Enter data'!C$45</f>
        <v>0.0018673040560130663</v>
      </c>
      <c r="S77" s="58">
        <f t="shared" si="6"/>
        <v>0.0006923930325441511</v>
      </c>
      <c r="T77" s="58">
        <f t="shared" si="7"/>
        <v>0.0005691611972729415</v>
      </c>
      <c r="U77" s="36">
        <f aca="true" t="shared" si="18" ref="U77:U108">O77+P77</f>
        <v>0.07156264521360142</v>
      </c>
      <c r="V77" s="36">
        <f>U77/(2*'Enter data'!$C$45)</f>
        <v>0.0004765032370692975</v>
      </c>
      <c r="W77" s="36">
        <f t="shared" si="17"/>
        <v>0.004138849936795469</v>
      </c>
      <c r="Y77" s="8"/>
      <c r="Z77" s="8">
        <f>4*PI()^2*D77*'Enter data'!$C$82*'Enter data'!$E$14*'Enter data'!$E$15/LN('Enter data'!$C$44)</f>
        <v>2.022835349191198E-09</v>
      </c>
      <c r="AA77" s="58">
        <f>27.28753*'Enter data'!$E$14^0.5*'Enter data'!$E$15*D77/'Enter data'!$C$83</f>
        <v>6.592268301389152E-07</v>
      </c>
      <c r="AB77" s="58">
        <f t="shared" si="14"/>
        <v>2.0093478119328066E-07</v>
      </c>
      <c r="AC77" s="8"/>
      <c r="AD77" s="36">
        <f>2*PI()/'Enter data'!$E$10/LN($C$3/$C$2)</f>
        <v>4.19829126836701E-16</v>
      </c>
      <c r="AE77" s="52">
        <f>8.686*AD77*'Enter data'!$C$45/2</f>
        <v>1.3691559855720513E-13</v>
      </c>
      <c r="AF77" s="58">
        <f t="shared" si="8"/>
        <v>4.17323819060001E-14</v>
      </c>
      <c r="AH77" s="8">
        <f aca="true" t="shared" si="19" ref="AH77:AH108">Q77+R77+AA77+AE77</f>
        <v>0.004139566344150972</v>
      </c>
      <c r="AI77" s="58">
        <f t="shared" si="9"/>
        <v>0.0012617551646400182</v>
      </c>
    </row>
    <row r="78" spans="4:35" ht="12.75">
      <c r="D78" s="8">
        <f>D77*'Enter data'!$C$74</f>
        <v>47779.904904830335</v>
      </c>
      <c r="E78" s="36">
        <f aca="true" t="shared" si="20" ref="E78:E141">D78/1000000000</f>
        <v>4.777990490483033E-05</v>
      </c>
      <c r="G78" s="8">
        <f t="shared" si="10"/>
        <v>0.00037481799060295643</v>
      </c>
      <c r="H78" s="8">
        <f t="shared" si="11"/>
        <v>0.0002978142412875404</v>
      </c>
      <c r="I78" s="8">
        <f t="shared" si="12"/>
        <v>6.897834276040805E-07</v>
      </c>
      <c r="J78" s="8">
        <f t="shared" si="13"/>
        <v>5.00367307336001E-07</v>
      </c>
      <c r="K78" s="8">
        <f>'Enter data'!$C$83/D78</f>
        <v>6274.446518827046</v>
      </c>
      <c r="L78" s="8"/>
      <c r="M78" s="8">
        <f>1+(2.7182818^(-G78/2/'Enter data'!C$31))^1.6</f>
        <v>1.0195438040141596</v>
      </c>
      <c r="N78" s="8">
        <f>1+(2.7182818^(-H78/2/'Enter data'!D$31))^1.6</f>
        <v>1.0000843972275917</v>
      </c>
      <c r="O78" s="8">
        <f aca="true" t="shared" si="21" ref="O78:O141">C$5/I78*M78^2</f>
        <v>0.03993419159942154</v>
      </c>
      <c r="P78" s="8">
        <f aca="true" t="shared" si="22" ref="P78:P141">C$6/J78*N78^2</f>
        <v>0.033441081791470775</v>
      </c>
      <c r="Q78" s="58">
        <f>8.686*O78/2/'Enter data'!C$45</f>
        <v>0.002309639468139974</v>
      </c>
      <c r="R78" s="58">
        <f>8.686*P78/2/'Enter data'!C$45</f>
        <v>0.001934103064803163</v>
      </c>
      <c r="S78" s="58">
        <f aca="true" t="shared" si="23" ref="S78:S141">Q78/3.2808</f>
        <v>0.0007039866703669757</v>
      </c>
      <c r="T78" s="58">
        <f aca="true" t="shared" si="24" ref="T78:T141">R78/3.2808</f>
        <v>0.0005895217827368821</v>
      </c>
      <c r="U78" s="36">
        <f t="shared" si="18"/>
        <v>0.07337527339089231</v>
      </c>
      <c r="V78" s="36">
        <f>U78/(2*'Enter data'!$C$45)</f>
        <v>0.0004885727069932232</v>
      </c>
      <c r="W78" s="36">
        <f aca="true" t="shared" si="25" ref="W78:W109">V78*8.68588</f>
        <v>0.004243683904218297</v>
      </c>
      <c r="Y78" s="8"/>
      <c r="Z78" s="8">
        <f>4*PI()^2*D78*'Enter data'!$C$82*'Enter data'!$E$14*'Enter data'!$E$15/LN('Enter data'!$C$44)</f>
        <v>2.3937221685780267E-09</v>
      </c>
      <c r="AA78" s="58">
        <f>27.28753*'Enter data'!$E$14^0.5*'Enter data'!$E$15*D78/'Enter data'!$C$83</f>
        <v>7.80096055794104E-07</v>
      </c>
      <c r="AB78" s="58">
        <f t="shared" si="14"/>
        <v>2.3777616916425994E-07</v>
      </c>
      <c r="AC78" s="8"/>
      <c r="AD78" s="36">
        <f>2*PI()/'Enter data'!$E$10/LN($C$3/$C$2)</f>
        <v>4.19829126836701E-16</v>
      </c>
      <c r="AE78" s="52">
        <f>8.686*AD78*'Enter data'!$C$45/2</f>
        <v>1.3691559855720513E-13</v>
      </c>
      <c r="AF78" s="58">
        <f aca="true" t="shared" si="26" ref="AF78:AF141">AE78/3.2808</f>
        <v>4.17323819060001E-14</v>
      </c>
      <c r="AH78" s="8">
        <f t="shared" si="19"/>
        <v>0.004244522629135846</v>
      </c>
      <c r="AI78" s="58">
        <f aca="true" t="shared" si="27" ref="AI78:AI141">AH78/3.2808</f>
        <v>0.0012937462293147544</v>
      </c>
    </row>
    <row r="79" spans="4:35" ht="12.75">
      <c r="D79" s="8">
        <f>D78*'Enter data'!$C$74</f>
        <v>56540.34947974006</v>
      </c>
      <c r="E79" s="36">
        <f t="shared" si="20"/>
        <v>5.6540349479740066E-05</v>
      </c>
      <c r="G79" s="8">
        <f aca="true" t="shared" si="28" ref="G79:G142">(C$5/(PI()*D79*H$5))^0.5</f>
        <v>0.0003445591793086108</v>
      </c>
      <c r="H79" s="8">
        <f aca="true" t="shared" si="29" ref="H79:H142">(C$6/(PI()*D79*H$6))^0.5</f>
        <v>0.0002737718923240023</v>
      </c>
      <c r="I79" s="8">
        <f aca="true" t="shared" si="30" ref="I79:I114">2*PI()*G79*(C$3+G79-(C$4+G79)*EXP((C$3-C$4)/G79))</f>
        <v>6.857718700060894E-07</v>
      </c>
      <c r="J79" s="8">
        <f aca="true" t="shared" si="31" ref="J79:J114">2*PI()*H79*(C$2+H79*(EXP(-C$2/H79)-1))</f>
        <v>4.82083218819616E-07</v>
      </c>
      <c r="K79" s="8">
        <f>'Enter data'!$C$83/D79</f>
        <v>5302.274583701039</v>
      </c>
      <c r="L79" s="8"/>
      <c r="M79" s="8">
        <f>1+(2.7182818^(-G79/2/'Enter data'!C$31))^1.6</f>
        <v>1.0268518873678694</v>
      </c>
      <c r="N79" s="8">
        <f>1+(2.7182818^(-H79/2/'Enter data'!D$31))^1.6</f>
        <v>1.000179967068636</v>
      </c>
      <c r="O79" s="8">
        <f t="shared" si="21"/>
        <v>0.04074570332319434</v>
      </c>
      <c r="P79" s="8">
        <f t="shared" si="22"/>
        <v>0.03471604400781364</v>
      </c>
      <c r="Q79" s="58">
        <f>8.686*O79/2/'Enter data'!C$45</f>
        <v>0.0023565741732389277</v>
      </c>
      <c r="R79" s="58">
        <f>8.686*P79/2/'Enter data'!C$45</f>
        <v>0.0020078419571486227</v>
      </c>
      <c r="S79" s="58">
        <f t="shared" si="23"/>
        <v>0.0007182925424405412</v>
      </c>
      <c r="T79" s="58">
        <f t="shared" si="24"/>
        <v>0.0006119976704305726</v>
      </c>
      <c r="U79" s="36">
        <f t="shared" si="18"/>
        <v>0.07546174733100798</v>
      </c>
      <c r="V79" s="36">
        <f>U79/(2*'Enter data'!$C$45)</f>
        <v>0.0005024655918014679</v>
      </c>
      <c r="W79" s="36">
        <f t="shared" si="25"/>
        <v>0.0043643558345165335</v>
      </c>
      <c r="Y79" s="8"/>
      <c r="Z79" s="8">
        <f>4*PI()^2*D79*'Enter data'!$C$82*'Enter data'!$E$14*'Enter data'!$E$15/LN('Enter data'!$C$44)</f>
        <v>2.8326110786193806E-09</v>
      </c>
      <c r="AA79" s="58">
        <f>27.28753*'Enter data'!$E$14^0.5*'Enter data'!$E$15*D79/'Enter data'!$C$83</f>
        <v>9.231266514703012E-07</v>
      </c>
      <c r="AB79" s="58">
        <f aca="true" t="shared" si="32" ref="AB79:AB142">AA79/3.2808</f>
        <v>2.8137242485683406E-07</v>
      </c>
      <c r="AC79" s="8"/>
      <c r="AD79" s="36">
        <f>2*PI()/'Enter data'!$E$10/LN($C$3/$C$2)</f>
        <v>4.19829126836701E-16</v>
      </c>
      <c r="AE79" s="52">
        <f>8.686*AD79*'Enter data'!$C$45/2</f>
        <v>1.3691559855720513E-13</v>
      </c>
      <c r="AF79" s="58">
        <f t="shared" si="26"/>
        <v>4.17323819060001E-14</v>
      </c>
      <c r="AH79" s="8">
        <f t="shared" si="19"/>
        <v>0.004365339257175937</v>
      </c>
      <c r="AI79" s="58">
        <f t="shared" si="27"/>
        <v>0.0013305715853377032</v>
      </c>
    </row>
    <row r="80" spans="4:35" ht="12.75">
      <c r="D80" s="8">
        <f>D79*'Enter data'!$C$74</f>
        <v>66907.0213860547</v>
      </c>
      <c r="E80" s="36">
        <f t="shared" si="20"/>
        <v>6.69070213860547E-05</v>
      </c>
      <c r="G80" s="8">
        <f t="shared" si="28"/>
        <v>0.0003167431420643419</v>
      </c>
      <c r="H80" s="8">
        <f t="shared" si="29"/>
        <v>0.00025167046647141267</v>
      </c>
      <c r="I80" s="8">
        <f t="shared" si="30"/>
        <v>6.814436384002095E-07</v>
      </c>
      <c r="J80" s="8">
        <f t="shared" si="31"/>
        <v>4.6343298957712664E-07</v>
      </c>
      <c r="K80" s="8">
        <f>'Enter data'!$C$83/D80</f>
        <v>4480.732392347766</v>
      </c>
      <c r="L80" s="8"/>
      <c r="M80" s="8">
        <f>1+(2.7182818^(-G80/2/'Enter data'!C$31))^1.6</f>
        <v>1.0359585898898005</v>
      </c>
      <c r="N80" s="8">
        <f>1+(2.7182818^(-H80/2/'Enter data'!D$31))^1.6</f>
        <v>1.000361001378076</v>
      </c>
      <c r="O80" s="8">
        <f t="shared" si="21"/>
        <v>0.04173502942353177</v>
      </c>
      <c r="P80" s="8">
        <f t="shared" si="22"/>
        <v>0.036126218165163884</v>
      </c>
      <c r="Q80" s="58">
        <f>8.686*O80/2/'Enter data'!C$45</f>
        <v>0.0024137929753902513</v>
      </c>
      <c r="R80" s="58">
        <f>8.686*P80/2/'Enter data'!C$45</f>
        <v>0.002089400986149083</v>
      </c>
      <c r="S80" s="58">
        <f t="shared" si="23"/>
        <v>0.0007357330454127808</v>
      </c>
      <c r="T80" s="58">
        <f t="shared" si="24"/>
        <v>0.000636857164761364</v>
      </c>
      <c r="U80" s="36">
        <f t="shared" si="18"/>
        <v>0.07786124758869566</v>
      </c>
      <c r="V80" s="36">
        <f>U80/(2*'Enter data'!$C$45)</f>
        <v>0.0005184427770595595</v>
      </c>
      <c r="W80" s="36">
        <f t="shared" si="25"/>
        <v>0.004503131748406087</v>
      </c>
      <c r="Y80" s="8"/>
      <c r="Z80" s="8">
        <f>4*PI()^2*D80*'Enter data'!$C$82*'Enter data'!$E$14*'Enter data'!$E$15/LN('Enter data'!$C$44)</f>
        <v>3.3519702612286303E-09</v>
      </c>
      <c r="AA80" s="58">
        <f>27.28753*'Enter data'!$E$14^0.5*'Enter data'!$E$15*D80/'Enter data'!$C$83</f>
        <v>1.0923819039019573E-06</v>
      </c>
      <c r="AB80" s="58">
        <f t="shared" si="32"/>
        <v>3.329620531278826E-07</v>
      </c>
      <c r="AC80" s="8"/>
      <c r="AD80" s="36">
        <f>2*PI()/'Enter data'!$E$10/LN($C$3/$C$2)</f>
        <v>4.19829126836701E-16</v>
      </c>
      <c r="AE80" s="52">
        <f>8.686*AD80*'Enter data'!$C$45/2</f>
        <v>1.3691559855720513E-13</v>
      </c>
      <c r="AF80" s="58">
        <f t="shared" si="26"/>
        <v>4.17323819060001E-14</v>
      </c>
      <c r="AH80" s="8">
        <f t="shared" si="19"/>
        <v>0.004504286343580152</v>
      </c>
      <c r="AI80" s="58">
        <f t="shared" si="27"/>
        <v>0.0013729231722690051</v>
      </c>
    </row>
    <row r="81" spans="4:35" ht="12.75">
      <c r="D81" s="8">
        <f>D80*'Enter data'!$C$74</f>
        <v>79174.42237172673</v>
      </c>
      <c r="E81" s="36">
        <f t="shared" si="20"/>
        <v>7.917442237172673E-05</v>
      </c>
      <c r="G81" s="8">
        <f t="shared" si="28"/>
        <v>0.00029117267531837503</v>
      </c>
      <c r="H81" s="8">
        <f t="shared" si="29"/>
        <v>0.00023135327427616068</v>
      </c>
      <c r="I81" s="8">
        <f t="shared" si="30"/>
        <v>6.767770476492146E-07</v>
      </c>
      <c r="J81" s="8">
        <f t="shared" si="31"/>
        <v>4.44491833048301E-07</v>
      </c>
      <c r="K81" s="8">
        <f>'Enter data'!$C$83/D81</f>
        <v>3786.4811516080754</v>
      </c>
      <c r="L81" s="8"/>
      <c r="M81" s="8">
        <f>1+(2.7182818^(-G81/2/'Enter data'!C$31))^1.6</f>
        <v>1.0470318173005806</v>
      </c>
      <c r="N81" s="8">
        <f>1+(2.7182818^(-H81/2/'Enter data'!D$31))^1.6</f>
        <v>1.0006845716637054</v>
      </c>
      <c r="O81" s="8">
        <f t="shared" si="21"/>
        <v>0.04292595944493576</v>
      </c>
      <c r="P81" s="8">
        <f t="shared" si="22"/>
        <v>0.03769003694240413</v>
      </c>
      <c r="Q81" s="58">
        <f>8.686*O81/2/'Enter data'!C$45</f>
        <v>0.0024826717700036187</v>
      </c>
      <c r="R81" s="58">
        <f>8.686*P81/2/'Enter data'!C$45</f>
        <v>0.002179846226788054</v>
      </c>
      <c r="S81" s="58">
        <f t="shared" si="23"/>
        <v>0.0007567275573041998</v>
      </c>
      <c r="T81" s="58">
        <f t="shared" si="24"/>
        <v>0.0006644252093355444</v>
      </c>
      <c r="U81" s="36">
        <f t="shared" si="18"/>
        <v>0.08061599638733989</v>
      </c>
      <c r="V81" s="36">
        <f>U81/(2*'Enter data'!$C$45)</f>
        <v>0.0005367854014266259</v>
      </c>
      <c r="W81" s="36">
        <f t="shared" si="25"/>
        <v>0.004662453582543501</v>
      </c>
      <c r="Y81" s="8"/>
      <c r="Z81" s="8">
        <f>4*PI()^2*D81*'Enter data'!$C$82*'Enter data'!$E$14*'Enter data'!$E$15/LN('Enter data'!$C$44)</f>
        <v>3.96655393921478E-09</v>
      </c>
      <c r="AA81" s="58">
        <f>27.28753*'Enter data'!$E$14^0.5*'Enter data'!$E$15*D81/'Enter data'!$C$83</f>
        <v>1.2926701033621451E-06</v>
      </c>
      <c r="AB81" s="58">
        <f t="shared" si="32"/>
        <v>3.940106386741481E-07</v>
      </c>
      <c r="AC81" s="8"/>
      <c r="AD81" s="36">
        <f>2*PI()/'Enter data'!$E$10/LN($C$3/$C$2)</f>
        <v>4.19829126836701E-16</v>
      </c>
      <c r="AE81" s="52">
        <f>8.686*AD81*'Enter data'!$C$45/2</f>
        <v>1.3691559855720513E-13</v>
      </c>
      <c r="AF81" s="58">
        <f t="shared" si="26"/>
        <v>4.17323819060001E-14</v>
      </c>
      <c r="AH81" s="8">
        <f t="shared" si="19"/>
        <v>0.004663810667031951</v>
      </c>
      <c r="AI81" s="58">
        <f t="shared" si="27"/>
        <v>0.0014215467773201508</v>
      </c>
    </row>
    <row r="82" spans="4:35" ht="12.75">
      <c r="D82" s="8">
        <f>D81*'Enter data'!$C$74</f>
        <v>93691.05107409747</v>
      </c>
      <c r="E82" s="36">
        <f t="shared" si="20"/>
        <v>9.369105107409747E-05</v>
      </c>
      <c r="G82" s="8">
        <f t="shared" si="28"/>
        <v>0.0002676664956327221</v>
      </c>
      <c r="H82" s="8">
        <f t="shared" si="29"/>
        <v>0.00021267627572176922</v>
      </c>
      <c r="I82" s="8">
        <f t="shared" si="30"/>
        <v>6.717495203625724E-07</v>
      </c>
      <c r="J82" s="8">
        <f t="shared" si="31"/>
        <v>4.25341839398666E-07</v>
      </c>
      <c r="K82" s="8">
        <f>'Enter data'!$C$83/D82</f>
        <v>3199.7982151241217</v>
      </c>
      <c r="L82" s="8"/>
      <c r="M82" s="8">
        <f>1+(2.7182818^(-G82/2/'Enter data'!C$31))^1.6</f>
        <v>1.0601961485459657</v>
      </c>
      <c r="N82" s="8">
        <f>1+(2.7182818^(-H82/2/'Enter data'!D$31))^1.6</f>
        <v>1.00123280242495</v>
      </c>
      <c r="O82" s="8">
        <f t="shared" si="21"/>
        <v>0.044341558485673366</v>
      </c>
      <c r="P82" s="8">
        <f t="shared" si="22"/>
        <v>0.03943010877823335</v>
      </c>
      <c r="Q82" s="58">
        <f>8.686*O82/2/'Enter data'!C$45</f>
        <v>0.0025645445533153516</v>
      </c>
      <c r="R82" s="58">
        <f>8.686*P82/2/'Enter data'!C$45</f>
        <v>0.0022804852638754645</v>
      </c>
      <c r="S82" s="58">
        <f t="shared" si="23"/>
        <v>0.0007816826851119701</v>
      </c>
      <c r="T82" s="58">
        <f t="shared" si="24"/>
        <v>0.0006951003608496295</v>
      </c>
      <c r="U82" s="36">
        <f t="shared" si="18"/>
        <v>0.08377166726390672</v>
      </c>
      <c r="V82" s="36">
        <f>U82/(2*'Enter data'!$C$45)</f>
        <v>0.000557797584295512</v>
      </c>
      <c r="W82" s="36">
        <f t="shared" si="25"/>
        <v>0.004844962881480701</v>
      </c>
      <c r="Y82" s="8"/>
      <c r="Z82" s="8">
        <f>4*PI()^2*D82*'Enter data'!$C$82*'Enter data'!$E$14*'Enter data'!$E$15/LN('Enter data'!$C$44)</f>
        <v>4.693821521833346E-09</v>
      </c>
      <c r="AA82" s="58">
        <f>27.28753*'Enter data'!$E$14^0.5*'Enter data'!$E$15*D82/'Enter data'!$C$83</f>
        <v>1.5296811400459383E-06</v>
      </c>
      <c r="AB82" s="58">
        <f t="shared" si="32"/>
        <v>4.6625248111617235E-07</v>
      </c>
      <c r="AC82" s="8"/>
      <c r="AD82" s="36">
        <f>2*PI()/'Enter data'!$E$10/LN($C$3/$C$2)</f>
        <v>4.19829126836701E-16</v>
      </c>
      <c r="AE82" s="52">
        <f>8.686*AD82*'Enter data'!$C$45/2</f>
        <v>1.3691559855720513E-13</v>
      </c>
      <c r="AF82" s="58">
        <f t="shared" si="26"/>
        <v>4.17323819060001E-14</v>
      </c>
      <c r="AH82" s="8">
        <f t="shared" si="19"/>
        <v>0.004846559498467777</v>
      </c>
      <c r="AI82" s="58">
        <f t="shared" si="27"/>
        <v>0.0014772492984844478</v>
      </c>
    </row>
    <row r="83" spans="4:35" ht="12.75">
      <c r="D83" s="8">
        <f>D82*'Enter data'!$C$74</f>
        <v>110869.30334844829</v>
      </c>
      <c r="E83" s="36">
        <f t="shared" si="20"/>
        <v>0.00011086930334844829</v>
      </c>
      <c r="G83" s="8">
        <f t="shared" si="28"/>
        <v>0.00024605795446280566</v>
      </c>
      <c r="H83" s="8">
        <f t="shared" si="29"/>
        <v>0.00019550705904810596</v>
      </c>
      <c r="I83" s="8">
        <f t="shared" si="30"/>
        <v>6.663376644112968E-07</v>
      </c>
      <c r="J83" s="8">
        <f t="shared" si="31"/>
        <v>4.060707388367273E-07</v>
      </c>
      <c r="K83" s="8">
        <f>'Enter data'!$C$83/D83</f>
        <v>2704.0167922566447</v>
      </c>
      <c r="L83" s="8"/>
      <c r="M83" s="8">
        <f>1+(2.7182818^(-G83/2/'Enter data'!C$31))^1.6</f>
        <v>1.0755254507041112</v>
      </c>
      <c r="N83" s="8">
        <f>1+(2.7182818^(-H83/2/'Enter data'!D$31))^1.6</f>
        <v>1.0021171115775476</v>
      </c>
      <c r="O83" s="8">
        <f t="shared" si="21"/>
        <v>0.0460037140442271</v>
      </c>
      <c r="P83" s="8">
        <f t="shared" si="22"/>
        <v>0.041374351641477916</v>
      </c>
      <c r="Q83" s="58">
        <f>8.686*O83/2/'Enter data'!C$45</f>
        <v>0.0026606772137365924</v>
      </c>
      <c r="R83" s="58">
        <f>8.686*P83/2/'Enter data'!C$45</f>
        <v>0.002392932764945304</v>
      </c>
      <c r="S83" s="58">
        <f t="shared" si="23"/>
        <v>0.0008109842763157133</v>
      </c>
      <c r="T83" s="58">
        <f t="shared" si="24"/>
        <v>0.0007293747759526042</v>
      </c>
      <c r="U83" s="36">
        <f t="shared" si="18"/>
        <v>0.08737806568570503</v>
      </c>
      <c r="V83" s="36">
        <f>U83/(2*'Enter data'!$C$45)</f>
        <v>0.0005818109577114778</v>
      </c>
      <c r="W83" s="36">
        <f t="shared" si="25"/>
        <v>0.005053540161366971</v>
      </c>
      <c r="Y83" s="8"/>
      <c r="Z83" s="8">
        <f>4*PI()^2*D83*'Enter data'!$C$82*'Enter data'!$E$14*'Enter data'!$E$15/LN('Enter data'!$C$44)</f>
        <v>5.554433600665308E-09</v>
      </c>
      <c r="AA83" s="58">
        <f>27.28753*'Enter data'!$E$14^0.5*'Enter data'!$E$15*D83/'Enter data'!$C$83</f>
        <v>1.810148145397856E-06</v>
      </c>
      <c r="AB83" s="58">
        <f t="shared" si="32"/>
        <v>5.517398638740112E-07</v>
      </c>
      <c r="AC83" s="8"/>
      <c r="AD83" s="36">
        <f>2*PI()/'Enter data'!$E$10/LN($C$3/$C$2)</f>
        <v>4.19829126836701E-16</v>
      </c>
      <c r="AE83" s="52">
        <f>8.686*AD83*'Enter data'!$C$45/2</f>
        <v>1.3691559855720513E-13</v>
      </c>
      <c r="AF83" s="58">
        <f t="shared" si="26"/>
        <v>4.17323819060001E-14</v>
      </c>
      <c r="AH83" s="8">
        <f t="shared" si="19"/>
        <v>0.00505542012696421</v>
      </c>
      <c r="AI83" s="58">
        <f t="shared" si="27"/>
        <v>0.0015409107921739238</v>
      </c>
    </row>
    <row r="84" spans="4:35" ht="12.75">
      <c r="D84" s="8">
        <f>D83*'Enter data'!$C$74</f>
        <v>131197.1878215868</v>
      </c>
      <c r="E84" s="36">
        <f t="shared" si="20"/>
        <v>0.00013119718782158679</v>
      </c>
      <c r="G84" s="8">
        <f t="shared" si="28"/>
        <v>0.00022619385669208356</v>
      </c>
      <c r="H84" s="8">
        <f t="shared" si="29"/>
        <v>0.00017972390200985235</v>
      </c>
      <c r="I84" s="8">
        <f t="shared" si="30"/>
        <v>6.605173781126487E-07</v>
      </c>
      <c r="J84" s="8">
        <f t="shared" si="31"/>
        <v>3.867703675500385E-07</v>
      </c>
      <c r="K84" s="8">
        <f>'Enter data'!$C$83/D84</f>
        <v>2285.052469323379</v>
      </c>
      <c r="L84" s="8"/>
      <c r="M84" s="8">
        <f>1+(2.7182818^(-G84/2/'Enter data'!C$31))^1.6</f>
        <v>1.0930388037643854</v>
      </c>
      <c r="N84" s="8">
        <f>1+(2.7182818^(-H84/2/'Enter data'!D$31))^1.6</f>
        <v>1.0034804444437493</v>
      </c>
      <c r="O84" s="8">
        <f t="shared" si="21"/>
        <v>0.047932798518693046</v>
      </c>
      <c r="P84" s="8">
        <f t="shared" si="22"/>
        <v>0.043557262249815466</v>
      </c>
      <c r="Q84" s="58">
        <f>8.686*O84/2/'Enter data'!C$45</f>
        <v>0.002772248012121482</v>
      </c>
      <c r="R84" s="58">
        <f>8.686*P84/2/'Enter data'!C$45</f>
        <v>0.002519183886966536</v>
      </c>
      <c r="S84" s="58">
        <f t="shared" si="23"/>
        <v>0.000844991469190893</v>
      </c>
      <c r="T84" s="58">
        <f t="shared" si="24"/>
        <v>0.0007678565858834846</v>
      </c>
      <c r="U84" s="36">
        <f t="shared" si="18"/>
        <v>0.09149006076850852</v>
      </c>
      <c r="V84" s="36">
        <f>U84/(2*'Enter data'!$C$45)</f>
        <v>0.000609190870261112</v>
      </c>
      <c r="W84" s="36">
        <f t="shared" si="25"/>
        <v>0.005291358796183587</v>
      </c>
      <c r="Y84" s="8"/>
      <c r="Z84" s="8">
        <f>4*PI()^2*D84*'Enter data'!$C$82*'Enter data'!$E$14*'Enter data'!$E$15/LN('Enter data'!$C$44)</f>
        <v>6.572838886330189E-09</v>
      </c>
      <c r="AA84" s="58">
        <f>27.28753*'Enter data'!$E$14^0.5*'Enter data'!$E$15*D84/'Enter data'!$C$83</f>
        <v>2.1420387703733444E-06</v>
      </c>
      <c r="AB84" s="58">
        <f t="shared" si="32"/>
        <v>6.529013564902903E-07</v>
      </c>
      <c r="AC84" s="8"/>
      <c r="AD84" s="36">
        <f>2*PI()/'Enter data'!$E$10/LN($C$3/$C$2)</f>
        <v>4.19829126836701E-16</v>
      </c>
      <c r="AE84" s="52">
        <f>8.686*AD84*'Enter data'!$C$45/2</f>
        <v>1.3691559855720513E-13</v>
      </c>
      <c r="AF84" s="58">
        <f t="shared" si="26"/>
        <v>4.17323819060001E-14</v>
      </c>
      <c r="AH84" s="8">
        <f t="shared" si="19"/>
        <v>0.0052935739379953075</v>
      </c>
      <c r="AI84" s="58">
        <f t="shared" si="27"/>
        <v>0.0016135009564726003</v>
      </c>
    </row>
    <row r="85" spans="4:35" ht="12.75">
      <c r="D85" s="8">
        <f>D84*'Enter data'!$C$74</f>
        <v>155252.18949194046</v>
      </c>
      <c r="E85" s="36">
        <f t="shared" si="20"/>
        <v>0.00015525218949194046</v>
      </c>
      <c r="G85" s="8">
        <f t="shared" si="28"/>
        <v>0.00020793337454560028</v>
      </c>
      <c r="H85" s="8">
        <f t="shared" si="29"/>
        <v>0.0001652149089189623</v>
      </c>
      <c r="I85" s="8">
        <f t="shared" si="30"/>
        <v>6.542639874262904E-07</v>
      </c>
      <c r="J85" s="8">
        <f t="shared" si="31"/>
        <v>3.6753487443057814E-07</v>
      </c>
      <c r="K85" s="8">
        <f>'Enter data'!$C$83/D85</f>
        <v>1931.0030923303855</v>
      </c>
      <c r="L85" s="8"/>
      <c r="M85" s="8">
        <f>1+(2.7182818^(-G85/2/'Enter data'!C$31))^1.6</f>
        <v>1.1126998113975068</v>
      </c>
      <c r="N85" s="8">
        <f>1+(2.7182818^(-H85/2/'Enter data'!D$31))^1.6</f>
        <v>1.0054966353742765</v>
      </c>
      <c r="O85" s="8">
        <f t="shared" si="21"/>
        <v>0.05014745376952846</v>
      </c>
      <c r="P85" s="8">
        <f t="shared" si="22"/>
        <v>0.04602127324468497</v>
      </c>
      <c r="Q85" s="58">
        <f>8.686*O85/2/'Enter data'!C$45</f>
        <v>0.0029003351217082203</v>
      </c>
      <c r="R85" s="58">
        <f>8.686*P85/2/'Enter data'!C$45</f>
        <v>0.0026616927701002538</v>
      </c>
      <c r="S85" s="58">
        <f t="shared" si="23"/>
        <v>0.0008840328949366679</v>
      </c>
      <c r="T85" s="58">
        <f t="shared" si="24"/>
        <v>0.0008112938216594287</v>
      </c>
      <c r="U85" s="36">
        <f t="shared" si="18"/>
        <v>0.09616872701421343</v>
      </c>
      <c r="V85" s="36">
        <f>U85/(2*'Enter data'!$C$45)</f>
        <v>0.0006403439893861932</v>
      </c>
      <c r="W85" s="36">
        <f t="shared" si="25"/>
        <v>0.005561951050529748</v>
      </c>
      <c r="Y85" s="8"/>
      <c r="Z85" s="8">
        <f>4*PI()^2*D85*'Enter data'!$C$82*'Enter data'!$E$14*'Enter data'!$E$15/LN('Enter data'!$C$44)</f>
        <v>7.777968760033348E-09</v>
      </c>
      <c r="AA85" s="58">
        <f>27.28753*'Enter data'!$E$14^0.5*'Enter data'!$E$15*D85/'Enter data'!$C$83</f>
        <v>2.5347815345655436E-06</v>
      </c>
      <c r="AB85" s="58">
        <f t="shared" si="32"/>
        <v>7.72610806682987E-07</v>
      </c>
      <c r="AC85" s="8"/>
      <c r="AD85" s="36">
        <f>2*PI()/'Enter data'!$E$10/LN($C$3/$C$2)</f>
        <v>4.19829126836701E-16</v>
      </c>
      <c r="AE85" s="52">
        <f>8.686*AD85*'Enter data'!$C$45/2</f>
        <v>1.3691559855720513E-13</v>
      </c>
      <c r="AF85" s="58">
        <f t="shared" si="26"/>
        <v>4.17323819060001E-14</v>
      </c>
      <c r="AH85" s="8">
        <f t="shared" si="19"/>
        <v>0.005564562673479955</v>
      </c>
      <c r="AI85" s="58">
        <f t="shared" si="27"/>
        <v>0.001696099327444512</v>
      </c>
    </row>
    <row r="86" spans="4:35" ht="12.75">
      <c r="D86" s="8">
        <f>D85*'Enter data'!$C$74</f>
        <v>183717.6752204403</v>
      </c>
      <c r="E86" s="36">
        <f t="shared" si="20"/>
        <v>0.0001837176752204403</v>
      </c>
      <c r="G86" s="8">
        <f t="shared" si="28"/>
        <v>0.0001911470491825877</v>
      </c>
      <c r="H86" s="8">
        <f t="shared" si="29"/>
        <v>0.000151877217353119</v>
      </c>
      <c r="I86" s="8">
        <f t="shared" si="30"/>
        <v>6.47552419795581E-07</v>
      </c>
      <c r="J86" s="8">
        <f t="shared" si="31"/>
        <v>3.484587295522721E-07</v>
      </c>
      <c r="K86" s="8">
        <f>'Enter data'!$C$83/D86</f>
        <v>1631.810644459131</v>
      </c>
      <c r="L86" s="8"/>
      <c r="M86" s="8">
        <f>1+(2.7182818^(-G86/2/'Enter data'!C$31))^1.6</f>
        <v>1.1344190464519863</v>
      </c>
      <c r="N86" s="8">
        <f>1+(2.7182818^(-H86/2/'Enter data'!D$31))^1.6</f>
        <v>1.0083663769070021</v>
      </c>
      <c r="O86" s="8">
        <f t="shared" si="21"/>
        <v>0.05266449964625416</v>
      </c>
      <c r="P86" s="8">
        <f t="shared" si="22"/>
        <v>0.0488181485096901</v>
      </c>
      <c r="Q86" s="58">
        <f>8.686*O86/2/'Enter data'!C$45</f>
        <v>0.003045911337656682</v>
      </c>
      <c r="R86" s="58">
        <f>8.686*P86/2/'Enter data'!C$45</f>
        <v>0.0028234532375292195</v>
      </c>
      <c r="S86" s="58">
        <f t="shared" si="23"/>
        <v>0.0009284050651233484</v>
      </c>
      <c r="T86" s="58">
        <f t="shared" si="24"/>
        <v>0.0008605990116828881</v>
      </c>
      <c r="U86" s="36">
        <f t="shared" si="18"/>
        <v>0.10148264815594427</v>
      </c>
      <c r="V86" s="36">
        <f>U86/(2*'Enter data'!$C$45)</f>
        <v>0.0006757269830976171</v>
      </c>
      <c r="W86" s="36">
        <f t="shared" si="25"/>
        <v>0.00586928348794793</v>
      </c>
      <c r="Y86" s="8"/>
      <c r="Z86" s="8">
        <f>4*PI()^2*D86*'Enter data'!$C$82*'Enter data'!$E$14*'Enter data'!$E$15/LN('Enter data'!$C$44)</f>
        <v>9.20405917112504E-09</v>
      </c>
      <c r="AA86" s="58">
        <f>27.28753*'Enter data'!$E$14^0.5*'Enter data'!$E$15*D86/'Enter data'!$C$83</f>
        <v>2.9995336764397562E-06</v>
      </c>
      <c r="AB86" s="58">
        <f t="shared" si="32"/>
        <v>9.142689820896598E-07</v>
      </c>
      <c r="AC86" s="8"/>
      <c r="AD86" s="36">
        <f>2*PI()/'Enter data'!$E$10/LN($C$3/$C$2)</f>
        <v>4.19829126836701E-16</v>
      </c>
      <c r="AE86" s="52">
        <f>8.686*AD86*'Enter data'!$C$45/2</f>
        <v>1.3691559855720513E-13</v>
      </c>
      <c r="AF86" s="58">
        <f t="shared" si="26"/>
        <v>4.17323819060001E-14</v>
      </c>
      <c r="AH86" s="8">
        <f t="shared" si="19"/>
        <v>0.005872364108999256</v>
      </c>
      <c r="AI86" s="58">
        <f t="shared" si="27"/>
        <v>0.0017899183458300585</v>
      </c>
    </row>
    <row r="87" spans="4:35" ht="12.75">
      <c r="D87" s="8">
        <f>D86*'Enter data'!$C$74</f>
        <v>217402.30716781833</v>
      </c>
      <c r="E87" s="36">
        <f t="shared" si="20"/>
        <v>0.00021740230716781834</v>
      </c>
      <c r="G87" s="8">
        <f t="shared" si="28"/>
        <v>0.000175715872889842</v>
      </c>
      <c r="H87" s="8">
        <f t="shared" si="29"/>
        <v>0.00013961626890609936</v>
      </c>
      <c r="I87" s="8">
        <f t="shared" si="30"/>
        <v>6.403574194812745E-07</v>
      </c>
      <c r="J87" s="8">
        <f t="shared" si="31"/>
        <v>3.2963461695738904E-07</v>
      </c>
      <c r="K87" s="8">
        <f>'Enter data'!$C$83/D87</f>
        <v>1378.9755127510336</v>
      </c>
      <c r="L87" s="8"/>
      <c r="M87" s="8">
        <f>1+(2.7182818^(-G87/2/'Enter data'!C$31))^1.6</f>
        <v>1.1580591343764013</v>
      </c>
      <c r="N87" s="8">
        <f>1+(2.7182818^(-H87/2/'Enter data'!D$31))^1.6</f>
        <v>1.0123097609991383</v>
      </c>
      <c r="O87" s="8">
        <f t="shared" si="21"/>
        <v>0.055498967177850696</v>
      </c>
      <c r="P87" s="8">
        <f t="shared" si="22"/>
        <v>0.052010373976464526</v>
      </c>
      <c r="Q87" s="58">
        <f>8.686*O87/2/'Enter data'!C$45</f>
        <v>0.0032098459966527965</v>
      </c>
      <c r="R87" s="58">
        <f>8.686*P87/2/'Enter data'!C$45</f>
        <v>0.0030080792342996304</v>
      </c>
      <c r="S87" s="58">
        <f t="shared" si="23"/>
        <v>0.000978372956794927</v>
      </c>
      <c r="T87" s="58">
        <f t="shared" si="24"/>
        <v>0.0009168736997987168</v>
      </c>
      <c r="U87" s="36">
        <f t="shared" si="18"/>
        <v>0.10750934115431522</v>
      </c>
      <c r="V87" s="36">
        <f>U87/(2*'Enter data'!$C$45)</f>
        <v>0.0007158560017214399</v>
      </c>
      <c r="W87" s="36">
        <f t="shared" si="25"/>
        <v>0.006217839328232219</v>
      </c>
      <c r="Y87" s="8"/>
      <c r="Z87" s="8">
        <f>4*PI()^2*D87*'Enter data'!$C$82*'Enter data'!$E$14*'Enter data'!$E$15/LN('Enter data'!$C$44)</f>
        <v>1.089162322955997E-08</v>
      </c>
      <c r="AA87" s="58">
        <f>27.28753*'Enter data'!$E$14^0.5*'Enter data'!$E$15*D87/'Enter data'!$C$83</f>
        <v>3.5494981139028608E-06</v>
      </c>
      <c r="AB87" s="58">
        <f t="shared" si="32"/>
        <v>1.0819001810237932E-06</v>
      </c>
      <c r="AC87" s="8"/>
      <c r="AD87" s="36">
        <f>2*PI()/'Enter data'!$E$10/LN($C$3/$C$2)</f>
        <v>4.19829126836701E-16</v>
      </c>
      <c r="AE87" s="52">
        <f>8.686*AD87*'Enter data'!$C$45/2</f>
        <v>1.3691559855720513E-13</v>
      </c>
      <c r="AF87" s="58">
        <f t="shared" si="26"/>
        <v>4.17323819060001E-14</v>
      </c>
      <c r="AH87" s="8">
        <f t="shared" si="19"/>
        <v>0.006221474729203245</v>
      </c>
      <c r="AI87" s="58">
        <f t="shared" si="27"/>
        <v>0.0018963285568164</v>
      </c>
    </row>
    <row r="88" spans="4:35" ht="12.75">
      <c r="D88" s="8">
        <f>D87*'Enter data'!$C$74</f>
        <v>257263.01568523172</v>
      </c>
      <c r="E88" s="36">
        <f t="shared" si="20"/>
        <v>0.00025726301568523174</v>
      </c>
      <c r="G88" s="8">
        <f t="shared" si="28"/>
        <v>0.00016153044536902918</v>
      </c>
      <c r="H88" s="8">
        <f t="shared" si="29"/>
        <v>0.0001283451388099845</v>
      </c>
      <c r="I88" s="8">
        <f t="shared" si="30"/>
        <v>6.326538093315503E-07</v>
      </c>
      <c r="J88" s="8">
        <f t="shared" si="31"/>
        <v>3.111513120215299E-07</v>
      </c>
      <c r="K88" s="8">
        <f>'Enter data'!$C$83/D88</f>
        <v>1165.3150267304811</v>
      </c>
      <c r="L88" s="8"/>
      <c r="M88" s="8">
        <f>1+(2.7182818^(-G88/2/'Enter data'!C$31))^1.6</f>
        <v>1.1834418278097107</v>
      </c>
      <c r="N88" s="8">
        <f>1+(2.7182818^(-H88/2/'Enter data'!D$31))^1.6</f>
        <v>1.0175558766306516</v>
      </c>
      <c r="O88" s="8">
        <f t="shared" si="21"/>
        <v>0.058664257272343326</v>
      </c>
      <c r="P88" s="8">
        <f t="shared" si="22"/>
        <v>0.055672514612949565</v>
      </c>
      <c r="Q88" s="58">
        <f>8.686*O88/2/'Enter data'!C$45</f>
        <v>0.0033929141554798446</v>
      </c>
      <c r="R88" s="58">
        <f>8.686*P88/2/'Enter data'!C$45</f>
        <v>0.003219883310284171</v>
      </c>
      <c r="S88" s="58">
        <f t="shared" si="23"/>
        <v>0.0010341728101316279</v>
      </c>
      <c r="T88" s="58">
        <f t="shared" si="24"/>
        <v>0.0009814323671922002</v>
      </c>
      <c r="U88" s="36">
        <f t="shared" si="18"/>
        <v>0.1143367718852929</v>
      </c>
      <c r="V88" s="36">
        <f>U88/(2*'Enter data'!$C$45)</f>
        <v>0.0007613167701777592</v>
      </c>
      <c r="W88" s="36">
        <f t="shared" si="25"/>
        <v>0.006612706107751594</v>
      </c>
      <c r="Y88" s="8"/>
      <c r="Z88" s="8">
        <f>4*PI()^2*D88*'Enter data'!$C$82*'Enter data'!$E$14*'Enter data'!$E$15/LN('Enter data'!$C$44)</f>
        <v>1.2888602123164115E-08</v>
      </c>
      <c r="AA88" s="58">
        <f>27.28753*'Enter data'!$E$14^0.5*'Enter data'!$E$15*D88/'Enter data'!$C$83</f>
        <v>4.20029851958657E-06</v>
      </c>
      <c r="AB88" s="58">
        <f t="shared" si="32"/>
        <v>1.2802665568113172E-06</v>
      </c>
      <c r="AC88" s="8"/>
      <c r="AD88" s="36">
        <f>2*PI()/'Enter data'!$E$10/LN($C$3/$C$2)</f>
        <v>4.19829126836701E-16</v>
      </c>
      <c r="AE88" s="52">
        <f>8.686*AD88*'Enter data'!$C$45/2</f>
        <v>1.3691559855720513E-13</v>
      </c>
      <c r="AF88" s="58">
        <f t="shared" si="26"/>
        <v>4.17323819060001E-14</v>
      </c>
      <c r="AH88" s="8">
        <f t="shared" si="19"/>
        <v>0.0066169977644205185</v>
      </c>
      <c r="AI88" s="58">
        <f t="shared" si="27"/>
        <v>0.002016885443922372</v>
      </c>
    </row>
    <row r="89" spans="4:35" ht="12.75">
      <c r="D89" s="8">
        <f>D88*'Enter data'!$C$74</f>
        <v>304432.18428390677</v>
      </c>
      <c r="E89" s="36">
        <f t="shared" si="20"/>
        <v>0.00030443218428390675</v>
      </c>
      <c r="G89" s="8">
        <f t="shared" si="28"/>
        <v>0.00014849019813636472</v>
      </c>
      <c r="H89" s="8">
        <f t="shared" si="29"/>
        <v>0.0001179839196765311</v>
      </c>
      <c r="I89" s="8">
        <f t="shared" si="30"/>
        <v>6.244168038648138E-07</v>
      </c>
      <c r="J89" s="8">
        <f t="shared" si="31"/>
        <v>2.930916546850734E-07</v>
      </c>
      <c r="K89" s="8">
        <f>'Enter data'!$C$83/D89</f>
        <v>984.7594094073186</v>
      </c>
      <c r="L89" s="8"/>
      <c r="M89" s="8">
        <f>1+(2.7182818^(-G89/2/'Enter data'!C$31))^1.6</f>
        <v>1.2103563682031926</v>
      </c>
      <c r="N89" s="8">
        <f>1+(2.7182818^(-H89/2/'Enter data'!D$31))^1.6</f>
        <v>1.0243303940251491</v>
      </c>
      <c r="O89" s="8">
        <f t="shared" si="21"/>
        <v>0.062172425562606166</v>
      </c>
      <c r="P89" s="8">
        <f t="shared" si="22"/>
        <v>0.05989252279738752</v>
      </c>
      <c r="Q89" s="58">
        <f>8.686*O89/2/'Enter data'!C$45</f>
        <v>0.003595813065400073</v>
      </c>
      <c r="R89" s="58">
        <f>8.686*P89/2/'Enter data'!C$45</f>
        <v>0.0034639522914825483</v>
      </c>
      <c r="S89" s="58">
        <f t="shared" si="23"/>
        <v>0.001096017149902485</v>
      </c>
      <c r="T89" s="58">
        <f t="shared" si="24"/>
        <v>0.0010558254972819277</v>
      </c>
      <c r="U89" s="36">
        <f t="shared" si="18"/>
        <v>0.12206494835999368</v>
      </c>
      <c r="V89" s="36">
        <f>U89/(2*'Enter data'!$C$45)</f>
        <v>0.0008127751965096272</v>
      </c>
      <c r="W89" s="36">
        <f t="shared" si="25"/>
        <v>0.00705966782385904</v>
      </c>
      <c r="Y89" s="8"/>
      <c r="Z89" s="8">
        <f>4*PI()^2*D89*'Enter data'!$C$82*'Enter data'!$E$14*'Enter data'!$E$15/LN('Enter data'!$C$44)</f>
        <v>1.5251727055558617E-08</v>
      </c>
      <c r="AA89" s="58">
        <f>27.28753*'Enter data'!$E$14^0.5*'Enter data'!$E$15*D89/'Enter data'!$C$83</f>
        <v>4.970423166176094E-06</v>
      </c>
      <c r="AB89" s="58">
        <f t="shared" si="32"/>
        <v>1.5150034034918598E-06</v>
      </c>
      <c r="AC89" s="8"/>
      <c r="AD89" s="36">
        <f>2*PI()/'Enter data'!$E$10/LN($C$3/$C$2)</f>
        <v>4.19829126836701E-16</v>
      </c>
      <c r="AE89" s="52">
        <f>8.686*AD89*'Enter data'!$C$45/2</f>
        <v>1.3691559855720513E-13</v>
      </c>
      <c r="AF89" s="58">
        <f t="shared" si="26"/>
        <v>4.17323819060001E-14</v>
      </c>
      <c r="AH89" s="8">
        <f t="shared" si="19"/>
        <v>0.007064735780185713</v>
      </c>
      <c r="AI89" s="58">
        <f t="shared" si="27"/>
        <v>0.002153357650629637</v>
      </c>
    </row>
    <row r="90" spans="4:35" ht="12.75">
      <c r="D90" s="8">
        <f>D89*'Enter data'!$C$74</f>
        <v>360249.81896840467</v>
      </c>
      <c r="E90" s="36">
        <f t="shared" si="20"/>
        <v>0.0003602498189684047</v>
      </c>
      <c r="G90" s="8">
        <f t="shared" si="28"/>
        <v>0.00013650268153600007</v>
      </c>
      <c r="H90" s="8">
        <f t="shared" si="29"/>
        <v>0.00010845915498869855</v>
      </c>
      <c r="I90" s="8">
        <f t="shared" si="30"/>
        <v>6.156223782534248E-07</v>
      </c>
      <c r="J90" s="8">
        <f t="shared" si="31"/>
        <v>2.7553073166294297E-07</v>
      </c>
      <c r="K90" s="8">
        <f>'Enter data'!$C$83/D90</f>
        <v>832.1793439299215</v>
      </c>
      <c r="L90" s="8"/>
      <c r="M90" s="8">
        <f>1+(2.7182818^(-G90/2/'Enter data'!C$31))^1.6</f>
        <v>1.2385684509513388</v>
      </c>
      <c r="N90" s="8">
        <f>1+(2.7182818^(-H90/2/'Enter data'!D$31))^1.6</f>
        <v>1.0328423531545479</v>
      </c>
      <c r="O90" s="8">
        <f t="shared" si="21"/>
        <v>0.06603459253572354</v>
      </c>
      <c r="P90" s="8">
        <f t="shared" si="22"/>
        <v>0.06477299408355053</v>
      </c>
      <c r="Q90" s="58">
        <f>8.686*O90/2/'Enter data'!C$45</f>
        <v>0.0038191858924535647</v>
      </c>
      <c r="R90" s="58">
        <f>8.686*P90/2/'Enter data'!C$45</f>
        <v>0.003746219908634193</v>
      </c>
      <c r="S90" s="58">
        <f t="shared" si="23"/>
        <v>0.0011641020155003549</v>
      </c>
      <c r="T90" s="58">
        <f t="shared" si="24"/>
        <v>0.0011418617131901344</v>
      </c>
      <c r="U90" s="36">
        <f t="shared" si="18"/>
        <v>0.13080758661927405</v>
      </c>
      <c r="V90" s="36">
        <f>U90/(2*'Enter data'!$C$45)</f>
        <v>0.0008709884643204878</v>
      </c>
      <c r="W90" s="36">
        <f t="shared" si="25"/>
        <v>0.007565301282472038</v>
      </c>
      <c r="Y90" s="8"/>
      <c r="Z90" s="8">
        <f>4*PI()^2*D90*'Enter data'!$C$82*'Enter data'!$E$14*'Enter data'!$E$15/LN('Enter data'!$C$44)</f>
        <v>1.804813089537381E-08</v>
      </c>
      <c r="AA90" s="58">
        <f>27.28753*'Enter data'!$E$14^0.5*'Enter data'!$E$15*D90/'Enter data'!$C$83</f>
        <v>5.881750150770636E-06</v>
      </c>
      <c r="AB90" s="58">
        <f t="shared" si="32"/>
        <v>1.7927792461505227E-06</v>
      </c>
      <c r="AC90" s="8"/>
      <c r="AD90" s="36">
        <f>2*PI()/'Enter data'!$E$10/LN($C$3/$C$2)</f>
        <v>4.19829126836701E-16</v>
      </c>
      <c r="AE90" s="52">
        <f>8.686*AD90*'Enter data'!$C$45/2</f>
        <v>1.3691559855720513E-13</v>
      </c>
      <c r="AF90" s="58">
        <f t="shared" si="26"/>
        <v>4.17323819060001E-14</v>
      </c>
      <c r="AH90" s="8">
        <f t="shared" si="19"/>
        <v>0.007571287551375444</v>
      </c>
      <c r="AI90" s="58">
        <f t="shared" si="27"/>
        <v>0.0023077565079783723</v>
      </c>
    </row>
    <row r="91" spans="4:35" ht="12.75">
      <c r="D91" s="8">
        <f>D90*'Enter data'!$C$74</f>
        <v>426301.615816475</v>
      </c>
      <c r="E91" s="36">
        <f t="shared" si="20"/>
        <v>0.000426301615816475</v>
      </c>
      <c r="G91" s="8">
        <f t="shared" si="28"/>
        <v>0.00012548290931235217</v>
      </c>
      <c r="H91" s="8">
        <f t="shared" si="29"/>
        <v>9.970331832603509E-05</v>
      </c>
      <c r="I91" s="8">
        <f t="shared" si="30"/>
        <v>6.06247697221159E-07</v>
      </c>
      <c r="J91" s="8">
        <f t="shared" si="31"/>
        <v>2.5853437171707623E-07</v>
      </c>
      <c r="K91" s="8">
        <f>'Enter data'!$C$83/D91</f>
        <v>703.2402573136437</v>
      </c>
      <c r="L91" s="8"/>
      <c r="M91" s="8">
        <f>1+(2.7182818^(-G91/2/'Enter data'!C$31))^1.6</f>
        <v>1.2678291884355464</v>
      </c>
      <c r="N91" s="8">
        <f>1+(2.7182818^(-H91/2/'Enter data'!D$31))^1.6</f>
        <v>1.0432714609540656</v>
      </c>
      <c r="O91" s="8">
        <f t="shared" si="21"/>
        <v>0.07026147521557208</v>
      </c>
      <c r="P91" s="8">
        <f t="shared" si="22"/>
        <v>0.07043237051239275</v>
      </c>
      <c r="Q91" s="58">
        <f>8.686*O91/2/'Enter data'!C$45</f>
        <v>0.00406365246792612</v>
      </c>
      <c r="R91" s="58">
        <f>8.686*P91/2/'Enter data'!C$45</f>
        <v>0.004073536392118596</v>
      </c>
      <c r="S91" s="58">
        <f t="shared" si="23"/>
        <v>0.0012386163337985002</v>
      </c>
      <c r="T91" s="58">
        <f t="shared" si="24"/>
        <v>0.0012416289905262728</v>
      </c>
      <c r="U91" s="36">
        <f t="shared" si="18"/>
        <v>0.14069384572796484</v>
      </c>
      <c r="V91" s="36">
        <f>U91/(2*'Enter data'!$C$45)</f>
        <v>0.0009368165853148419</v>
      </c>
      <c r="W91" s="36">
        <f t="shared" si="25"/>
        <v>0.008137076442054478</v>
      </c>
      <c r="Y91" s="8"/>
      <c r="Z91" s="8">
        <f>4*PI()^2*D91*'Enter data'!$C$82*'Enter data'!$E$14*'Enter data'!$E$15/LN('Enter data'!$C$44)</f>
        <v>2.1357255321313266E-08</v>
      </c>
      <c r="AA91" s="58">
        <f>27.28753*'Enter data'!$E$14^0.5*'Enter data'!$E$15*D91/'Enter data'!$C$83</f>
        <v>6.960168919119502E-06</v>
      </c>
      <c r="AB91" s="58">
        <f t="shared" si="32"/>
        <v>2.1214852838086755E-06</v>
      </c>
      <c r="AC91" s="8"/>
      <c r="AD91" s="36">
        <f>2*PI()/'Enter data'!$E$10/LN($C$3/$C$2)</f>
        <v>4.19829126836701E-16</v>
      </c>
      <c r="AE91" s="52">
        <f>8.686*AD91*'Enter data'!$C$45/2</f>
        <v>1.3691559855720513E-13</v>
      </c>
      <c r="AF91" s="58">
        <f t="shared" si="26"/>
        <v>4.17323819060001E-14</v>
      </c>
      <c r="AH91" s="8">
        <f t="shared" si="19"/>
        <v>0.008144149029100751</v>
      </c>
      <c r="AI91" s="58">
        <f t="shared" si="27"/>
        <v>0.002482366809650314</v>
      </c>
    </row>
    <row r="92" spans="4:35" ht="12.75">
      <c r="D92" s="8">
        <f>D91*'Enter data'!$C$74</f>
        <v>504464.0082488873</v>
      </c>
      <c r="E92" s="36">
        <f t="shared" si="20"/>
        <v>0.0005044640082488873</v>
      </c>
      <c r="G92" s="8">
        <f t="shared" si="28"/>
        <v>0.00011535275609468</v>
      </c>
      <c r="H92" s="8">
        <f t="shared" si="29"/>
        <v>9.16543346318576E-05</v>
      </c>
      <c r="I92" s="8">
        <f t="shared" si="30"/>
        <v>5.962716069295984E-07</v>
      </c>
      <c r="J92" s="8">
        <f t="shared" si="31"/>
        <v>2.4215803788970723E-07</v>
      </c>
      <c r="K92" s="8">
        <f>'Enter data'!$C$83/D92</f>
        <v>594.2791816618391</v>
      </c>
      <c r="L92" s="8"/>
      <c r="M92" s="8">
        <f>1+(2.7182818^(-G92/2/'Enter data'!C$31))^1.6</f>
        <v>1.297883578571402</v>
      </c>
      <c r="N92" s="8">
        <f>1+(2.7182818^(-H92/2/'Enter data'!D$31))^1.6</f>
        <v>1.0557570919513033</v>
      </c>
      <c r="O92" s="8">
        <f t="shared" si="21"/>
        <v>0.07486403300885536</v>
      </c>
      <c r="P92" s="8">
        <f t="shared" si="22"/>
        <v>0.07700608897789622</v>
      </c>
      <c r="Q92" s="58">
        <f>8.686*O92/2/'Enter data'!C$45</f>
        <v>0.0043298466415904804</v>
      </c>
      <c r="R92" s="58">
        <f>8.686*P92/2/'Enter data'!C$45</f>
        <v>0.004453734889002337</v>
      </c>
      <c r="S92" s="58">
        <f t="shared" si="23"/>
        <v>0.0013197533045569618</v>
      </c>
      <c r="T92" s="58">
        <f t="shared" si="24"/>
        <v>0.001357514901549115</v>
      </c>
      <c r="U92" s="36">
        <f t="shared" si="18"/>
        <v>0.1518701219867516</v>
      </c>
      <c r="V92" s="36">
        <f>U92/(2*'Enter data'!$C$45)</f>
        <v>0.0010112343461423923</v>
      </c>
      <c r="W92" s="36">
        <f t="shared" si="25"/>
        <v>0.008783460182471281</v>
      </c>
      <c r="Y92" s="8"/>
      <c r="Z92" s="8">
        <f>4*PI()^2*D92*'Enter data'!$C$82*'Enter data'!$E$14*'Enter data'!$E$15/LN('Enter data'!$C$44)</f>
        <v>2.527310764222581E-08</v>
      </c>
      <c r="AA92" s="58">
        <f>27.28753*'Enter data'!$E$14^0.5*'Enter data'!$E$15*D92/'Enter data'!$C$83</f>
        <v>8.236315746314037E-06</v>
      </c>
      <c r="AB92" s="58">
        <f t="shared" si="32"/>
        <v>2.510459566664849E-06</v>
      </c>
      <c r="AC92" s="8"/>
      <c r="AD92" s="36">
        <f>2*PI()/'Enter data'!$E$10/LN($C$3/$C$2)</f>
        <v>4.19829126836701E-16</v>
      </c>
      <c r="AE92" s="52">
        <f>8.686*AD92*'Enter data'!$C$45/2</f>
        <v>1.3691559855720513E-13</v>
      </c>
      <c r="AF92" s="58">
        <f t="shared" si="26"/>
        <v>4.17323819060001E-14</v>
      </c>
      <c r="AH92" s="8">
        <f t="shared" si="19"/>
        <v>0.008791817846476048</v>
      </c>
      <c r="AI92" s="58">
        <f t="shared" si="27"/>
        <v>0.0026797786657144743</v>
      </c>
    </row>
    <row r="93" spans="4:35" ht="12.75">
      <c r="D93" s="8">
        <f>D92*'Enter data'!$C$74</f>
        <v>596957.4737152534</v>
      </c>
      <c r="E93" s="36">
        <f t="shared" si="20"/>
        <v>0.0005969574737152534</v>
      </c>
      <c r="G93" s="8">
        <f t="shared" si="28"/>
        <v>0.00010604040352233776</v>
      </c>
      <c r="H93" s="8">
        <f t="shared" si="29"/>
        <v>8.42551401282192E-05</v>
      </c>
      <c r="I93" s="8">
        <f t="shared" si="30"/>
        <v>5.856751915463133E-07</v>
      </c>
      <c r="J93" s="8">
        <f t="shared" si="31"/>
        <v>2.2644617064692009E-07</v>
      </c>
      <c r="K93" s="8">
        <f>'Enter data'!$C$83/D93</f>
        <v>502.20069468968563</v>
      </c>
      <c r="L93" s="8"/>
      <c r="M93" s="8">
        <f>1+(2.7182818^(-G93/2/'Enter data'!C$31))^1.6</f>
        <v>1.3284781148642888</v>
      </c>
      <c r="N93" s="8">
        <f>1+(2.7182818^(-H93/2/'Enter data'!D$31))^1.6</f>
        <v>1.0703899224483011</v>
      </c>
      <c r="O93" s="8">
        <f t="shared" si="21"/>
        <v>0.07985421675598857</v>
      </c>
      <c r="P93" s="8">
        <f t="shared" si="22"/>
        <v>0.08464766513975215</v>
      </c>
      <c r="Q93" s="58">
        <f>8.686*O93/2/'Enter data'!C$45</f>
        <v>0.0046184596039176426</v>
      </c>
      <c r="R93" s="58">
        <f>8.686*P93/2/'Enter data'!C$45</f>
        <v>0.004895694152363904</v>
      </c>
      <c r="S93" s="58">
        <f t="shared" si="23"/>
        <v>0.0014077236051931365</v>
      </c>
      <c r="T93" s="58">
        <f t="shared" si="24"/>
        <v>0.0014922257231053109</v>
      </c>
      <c r="U93" s="36">
        <f t="shared" si="18"/>
        <v>0.16450188189574072</v>
      </c>
      <c r="V93" s="36">
        <f>U93/(2*'Enter data'!$C$45)</f>
        <v>0.0010953435132721099</v>
      </c>
      <c r="W93" s="36">
        <f t="shared" si="25"/>
        <v>0.009514022315059953</v>
      </c>
      <c r="Y93" s="8"/>
      <c r="Z93" s="8">
        <f>4*PI()^2*D93*'Enter data'!$C$82*'Enter data'!$E$14*'Enter data'!$E$15/LN('Enter data'!$C$44)</f>
        <v>2.9906931405091104E-08</v>
      </c>
      <c r="AA93" s="58">
        <f>27.28753*'Enter data'!$E$14^0.5*'Enter data'!$E$15*D93/'Enter data'!$C$83</f>
        <v>9.746444067849183E-06</v>
      </c>
      <c r="AB93" s="58">
        <f t="shared" si="32"/>
        <v>2.97075227622811E-06</v>
      </c>
      <c r="AC93" s="8"/>
      <c r="AD93" s="36">
        <f>2*PI()/'Enter data'!$E$10/LN($C$3/$C$2)</f>
        <v>4.19829126836701E-16</v>
      </c>
      <c r="AE93" s="52">
        <f>8.686*AD93*'Enter data'!$C$45/2</f>
        <v>1.3691559855720513E-13</v>
      </c>
      <c r="AF93" s="58">
        <f t="shared" si="26"/>
        <v>4.17323819060001E-14</v>
      </c>
      <c r="AH93" s="8">
        <f t="shared" si="19"/>
        <v>0.009523900200486312</v>
      </c>
      <c r="AI93" s="58">
        <f t="shared" si="27"/>
        <v>0.002902920080616408</v>
      </c>
    </row>
    <row r="94" spans="4:35" ht="12.75">
      <c r="D94" s="8">
        <f>D93*'Enter data'!$C$74</f>
        <v>706409.6141595915</v>
      </c>
      <c r="E94" s="36">
        <f t="shared" si="20"/>
        <v>0.0007064096141595915</v>
      </c>
      <c r="G94" s="8">
        <f t="shared" si="28"/>
        <v>9.747983108397365E-05</v>
      </c>
      <c r="H94" s="8">
        <f t="shared" si="29"/>
        <v>7.745327775865362E-05</v>
      </c>
      <c r="I94" s="8">
        <f t="shared" si="30"/>
        <v>5.744423942743505E-07</v>
      </c>
      <c r="J94" s="8">
        <f t="shared" si="31"/>
        <v>2.114319993294262E-07</v>
      </c>
      <c r="K94" s="8">
        <f>'Enter data'!$C$83/D94</f>
        <v>424.3889833756865</v>
      </c>
      <c r="L94" s="8"/>
      <c r="M94" s="8">
        <f>1+(2.7182818^(-G94/2/'Enter data'!C$31))^1.6</f>
        <v>1.3593673015695011</v>
      </c>
      <c r="N94" s="8">
        <f>1+(2.7182818^(-H94/2/'Enter data'!D$31))^1.6</f>
        <v>1.0872067720731704</v>
      </c>
      <c r="O94" s="8">
        <f t="shared" si="21"/>
        <v>0.08524580740098714</v>
      </c>
      <c r="P94" s="8">
        <f t="shared" si="22"/>
        <v>0.09352969587958898</v>
      </c>
      <c r="Q94" s="58">
        <f>8.686*O94/2/'Enter data'!C$45</f>
        <v>0.004930288391505353</v>
      </c>
      <c r="R94" s="58">
        <f>8.686*P94/2/'Enter data'!C$45</f>
        <v>0.005409396519491747</v>
      </c>
      <c r="S94" s="58">
        <f t="shared" si="23"/>
        <v>0.0015027701754161645</v>
      </c>
      <c r="T94" s="58">
        <f t="shared" si="24"/>
        <v>0.001648804108599045</v>
      </c>
      <c r="U94" s="36">
        <f t="shared" si="18"/>
        <v>0.17877550328057612</v>
      </c>
      <c r="V94" s="36">
        <f>U94/(2*'Enter data'!$C$45)</f>
        <v>0.0011903850922170274</v>
      </c>
      <c r="W94" s="36">
        <f t="shared" si="25"/>
        <v>0.010339542064786033</v>
      </c>
      <c r="Y94" s="8"/>
      <c r="Z94" s="8">
        <f>4*PI()^2*D94*'Enter data'!$C$82*'Enter data'!$E$14*'Enter data'!$E$15/LN('Enter data'!$C$44)</f>
        <v>3.5390366658923955E-08</v>
      </c>
      <c r="AA94" s="58">
        <f>27.28753*'Enter data'!$E$14^0.5*'Enter data'!$E$15*D94/'Enter data'!$C$83</f>
        <v>1.1533454385867179E-05</v>
      </c>
      <c r="AB94" s="58">
        <f t="shared" si="32"/>
        <v>3.515439644558394E-06</v>
      </c>
      <c r="AC94" s="8"/>
      <c r="AD94" s="36">
        <f>2*PI()/'Enter data'!$E$10/LN($C$3/$C$2)</f>
        <v>4.19829126836701E-16</v>
      </c>
      <c r="AE94" s="52">
        <f>8.686*AD94*'Enter data'!$C$45/2</f>
        <v>1.3691559855720513E-13</v>
      </c>
      <c r="AF94" s="58">
        <f t="shared" si="26"/>
        <v>4.17323819060001E-14</v>
      </c>
      <c r="AH94" s="8">
        <f t="shared" si="19"/>
        <v>0.01035121836551988</v>
      </c>
      <c r="AI94" s="58">
        <f t="shared" si="27"/>
        <v>0.0031550897237014996</v>
      </c>
    </row>
    <row r="95" spans="4:35" ht="12.75">
      <c r="D95" s="8">
        <f>D94*'Enter data'!$C$74</f>
        <v>835929.802287945</v>
      </c>
      <c r="E95" s="36">
        <f t="shared" si="20"/>
        <v>0.0008359298022879451</v>
      </c>
      <c r="G95" s="8">
        <f t="shared" si="28"/>
        <v>8.961034806094776E-05</v>
      </c>
      <c r="H95" s="8">
        <f t="shared" si="29"/>
        <v>7.120052529056237E-05</v>
      </c>
      <c r="I95" s="8">
        <f t="shared" si="30"/>
        <v>5.625607000933678E-07</v>
      </c>
      <c r="J95" s="8">
        <f t="shared" si="31"/>
        <v>1.9713780073505854E-07</v>
      </c>
      <c r="K95" s="8">
        <f>'Enter data'!$C$83/D95</f>
        <v>358.6335325998262</v>
      </c>
      <c r="L95" s="8"/>
      <c r="M95" s="8">
        <f>1+(2.7182818^(-G95/2/'Enter data'!C$31))^1.6</f>
        <v>1.390318952993837</v>
      </c>
      <c r="N95" s="8">
        <f>1+(2.7182818^(-H95/2/'Enter data'!D$31))^1.6</f>
        <v>1.1061888457656364</v>
      </c>
      <c r="O95" s="8">
        <f t="shared" si="21"/>
        <v>0.09105532959274645</v>
      </c>
      <c r="P95" s="8">
        <f t="shared" si="22"/>
        <v>0.10384475920006872</v>
      </c>
      <c r="Q95" s="58">
        <f>8.686*O95/2/'Enter data'!C$45</f>
        <v>0.005266288726248994</v>
      </c>
      <c r="R95" s="58">
        <f>8.686*P95/2/'Enter data'!C$45</f>
        <v>0.00600597995857376</v>
      </c>
      <c r="S95" s="58">
        <f t="shared" si="23"/>
        <v>0.0016051843228020587</v>
      </c>
      <c r="T95" s="58">
        <f t="shared" si="24"/>
        <v>0.0018306449520158986</v>
      </c>
      <c r="U95" s="36">
        <f t="shared" si="18"/>
        <v>0.19490008879281517</v>
      </c>
      <c r="V95" s="36">
        <f>U95/(2*'Enter data'!$C$45)</f>
        <v>0.001297751402811738</v>
      </c>
      <c r="W95" s="36">
        <f t="shared" si="25"/>
        <v>0.011272112954654417</v>
      </c>
      <c r="Y95" s="8"/>
      <c r="Z95" s="8">
        <f>4*PI()^2*D95*'Enter data'!$C$82*'Enter data'!$E$14*'Enter data'!$E$15/LN('Enter data'!$C$44)</f>
        <v>4.1879189653000143E-08</v>
      </c>
      <c r="AA95" s="58">
        <f>27.28753*'Enter data'!$E$14^0.5*'Enter data'!$E$15*D95/'Enter data'!$C$83</f>
        <v>1.3648113008689689E-05</v>
      </c>
      <c r="AB95" s="58">
        <f t="shared" si="32"/>
        <v>4.159995430593053E-06</v>
      </c>
      <c r="AC95" s="8"/>
      <c r="AD95" s="36">
        <f>2*PI()/'Enter data'!$E$10/LN($C$3/$C$2)</f>
        <v>4.19829126836701E-16</v>
      </c>
      <c r="AE95" s="52">
        <f>8.686*AD95*'Enter data'!$C$45/2</f>
        <v>1.3691559855720513E-13</v>
      </c>
      <c r="AF95" s="58">
        <f t="shared" si="26"/>
        <v>4.17323819060001E-14</v>
      </c>
      <c r="AH95" s="8">
        <f t="shared" si="19"/>
        <v>0.011285916797968358</v>
      </c>
      <c r="AI95" s="58">
        <f t="shared" si="27"/>
        <v>0.003439989270290282</v>
      </c>
    </row>
    <row r="96" spans="4:35" ht="12.75">
      <c r="D96" s="8">
        <f>D95*'Enter data'!$C$74</f>
        <v>989197.514227624</v>
      </c>
      <c r="E96" s="36">
        <f t="shared" si="20"/>
        <v>0.000989197514227624</v>
      </c>
      <c r="G96" s="8">
        <f t="shared" si="28"/>
        <v>8.237616325665127E-05</v>
      </c>
      <c r="H96" s="8">
        <f t="shared" si="29"/>
        <v>6.545255344065293E-05</v>
      </c>
      <c r="I96" s="8">
        <f t="shared" si="30"/>
        <v>5.500218742425464E-07</v>
      </c>
      <c r="J96" s="8">
        <f t="shared" si="31"/>
        <v>1.8357554833462791E-07</v>
      </c>
      <c r="K96" s="8">
        <f>'Enter data'!$C$83/D96</f>
        <v>303.0663276929898</v>
      </c>
      <c r="L96" s="8"/>
      <c r="M96" s="8">
        <f>1+(2.7182818^(-G96/2/'Enter data'!C$31))^1.6</f>
        <v>1.421118252501326</v>
      </c>
      <c r="N96" s="8">
        <f>1+(2.7182818^(-H96/2/'Enter data'!D$31))^1.6</f>
        <v>1.1272632218310492</v>
      </c>
      <c r="O96" s="8">
        <f t="shared" si="21"/>
        <v>0.09730302616582609</v>
      </c>
      <c r="P96" s="8">
        <f t="shared" si="22"/>
        <v>0.11580619240738163</v>
      </c>
      <c r="Q96" s="58">
        <f>8.686*O96/2/'Enter data'!C$45</f>
        <v>0.005627631375547963</v>
      </c>
      <c r="R96" s="58">
        <f>8.686*P96/2/'Enter data'!C$45</f>
        <v>0.0066977830757684554</v>
      </c>
      <c r="S96" s="58">
        <f t="shared" si="23"/>
        <v>0.0017153229015935024</v>
      </c>
      <c r="T96" s="58">
        <f t="shared" si="24"/>
        <v>0.0020415091062449572</v>
      </c>
      <c r="U96" s="36">
        <f t="shared" si="18"/>
        <v>0.21310921857320772</v>
      </c>
      <c r="V96" s="36">
        <f>U96/(2*'Enter data'!$C$45)</f>
        <v>0.0014189977494032256</v>
      </c>
      <c r="W96" s="36">
        <f t="shared" si="25"/>
        <v>0.012325244171586489</v>
      </c>
      <c r="Y96" s="8"/>
      <c r="Z96" s="8">
        <f>4*PI()^2*D96*'Enter data'!$C$82*'Enter data'!$E$14*'Enter data'!$E$15/LN('Enter data'!$C$44)</f>
        <v>4.955773820867445E-08</v>
      </c>
      <c r="AA96" s="58">
        <f>27.28753*'Enter data'!$E$14^0.5*'Enter data'!$E$15*D96/'Enter data'!$C$83</f>
        <v>1.615049424621792E-05</v>
      </c>
      <c r="AB96" s="58">
        <f t="shared" si="32"/>
        <v>4.922730506650182E-06</v>
      </c>
      <c r="AC96" s="8"/>
      <c r="AD96" s="36">
        <f>2*PI()/'Enter data'!$E$10/LN($C$3/$C$2)</f>
        <v>4.19829126836701E-16</v>
      </c>
      <c r="AE96" s="52">
        <f>8.686*AD96*'Enter data'!$C$45/2</f>
        <v>1.3691559855720513E-13</v>
      </c>
      <c r="AF96" s="58">
        <f t="shared" si="26"/>
        <v>4.17323819060001E-14</v>
      </c>
      <c r="AH96" s="8">
        <f t="shared" si="19"/>
        <v>0.012341564945699551</v>
      </c>
      <c r="AI96" s="58">
        <f t="shared" si="27"/>
        <v>0.0037617547383868417</v>
      </c>
    </row>
    <row r="97" spans="4:35" ht="12.75">
      <c r="D97" s="8">
        <f>D96*'Enter data'!$C$74</f>
        <v>1170566.8579776888</v>
      </c>
      <c r="E97" s="36">
        <f t="shared" si="20"/>
        <v>0.0011705668579776887</v>
      </c>
      <c r="G97" s="8">
        <f t="shared" si="28"/>
        <v>7.572598946129675E-05</v>
      </c>
      <c r="H97" s="8">
        <f t="shared" si="29"/>
        <v>6.0168611599686874E-05</v>
      </c>
      <c r="I97" s="8">
        <f t="shared" si="30"/>
        <v>5.368227465097249E-07</v>
      </c>
      <c r="J97" s="8">
        <f t="shared" si="31"/>
        <v>1.7074786848144687E-07</v>
      </c>
      <c r="K97" s="8">
        <f>'Enter data'!$C$83/D97</f>
        <v>256.1087869153682</v>
      </c>
      <c r="L97" s="8"/>
      <c r="M97" s="8">
        <f>1+(2.7182818^(-G97/2/'Enter data'!C$31))^1.6</f>
        <v>1.4515706214968869</v>
      </c>
      <c r="N97" s="8">
        <f>1+(2.7182818^(-H97/2/'Enter data'!D$31))^1.6</f>
        <v>1.1503071576023938</v>
      </c>
      <c r="O97" s="8">
        <f t="shared" si="21"/>
        <v>0.10401388167071499</v>
      </c>
      <c r="P97" s="8">
        <f t="shared" si="22"/>
        <v>0.12964873818142575</v>
      </c>
      <c r="Q97" s="58">
        <f>8.686*O97/2/'Enter data'!C$45</f>
        <v>0.006015761349344661</v>
      </c>
      <c r="R97" s="58">
        <f>8.686*P97/2/'Enter data'!C$45</f>
        <v>0.007498382481409851</v>
      </c>
      <c r="S97" s="58">
        <f t="shared" si="23"/>
        <v>0.0018336263561767438</v>
      </c>
      <c r="T97" s="58">
        <f t="shared" si="24"/>
        <v>0.0022855347724365553</v>
      </c>
      <c r="U97" s="36">
        <f t="shared" si="18"/>
        <v>0.23366261985214073</v>
      </c>
      <c r="V97" s="36">
        <f>U97/(2*'Enter data'!$C$45)</f>
        <v>0.0015558535379639087</v>
      </c>
      <c r="W97" s="36">
        <f t="shared" si="25"/>
        <v>0.013513957128329954</v>
      </c>
      <c r="Y97" s="8"/>
      <c r="Z97" s="8">
        <f>4*PI()^2*D97*'Enter data'!$C$82*'Enter data'!$E$14*'Enter data'!$E$15/LN('Enter data'!$C$44)</f>
        <v>5.8644148483029935E-08</v>
      </c>
      <c r="AA97" s="58">
        <f>27.28753*'Enter data'!$E$14^0.5*'Enter data'!$E$15*D97/'Enter data'!$C$83</f>
        <v>1.911168703182949E-05</v>
      </c>
      <c r="AB97" s="58">
        <f t="shared" si="32"/>
        <v>5.825313043108232E-06</v>
      </c>
      <c r="AC97" s="8"/>
      <c r="AD97" s="36">
        <f>2*PI()/'Enter data'!$E$10/LN($C$3/$C$2)</f>
        <v>4.19829126836701E-16</v>
      </c>
      <c r="AE97" s="52">
        <f>8.686*AD97*'Enter data'!$C$45/2</f>
        <v>1.3691559855720513E-13</v>
      </c>
      <c r="AF97" s="58">
        <f t="shared" si="26"/>
        <v>4.17323819060001E-14</v>
      </c>
      <c r="AH97" s="8">
        <f t="shared" si="19"/>
        <v>0.013533255517923257</v>
      </c>
      <c r="AI97" s="58">
        <f t="shared" si="27"/>
        <v>0.00412498644169814</v>
      </c>
    </row>
    <row r="98" spans="4:35" ht="12.75">
      <c r="D98" s="8">
        <f>D97*'Enter data'!$C$74</f>
        <v>1385190.2671486656</v>
      </c>
      <c r="E98" s="36">
        <f t="shared" si="20"/>
        <v>0.0013851902671486657</v>
      </c>
      <c r="G98" s="8">
        <f t="shared" si="28"/>
        <v>6.961267984800704E-05</v>
      </c>
      <c r="H98" s="8">
        <f t="shared" si="29"/>
        <v>5.531123892846339E-05</v>
      </c>
      <c r="I98" s="8">
        <f t="shared" si="30"/>
        <v>5.229660266612354E-07</v>
      </c>
      <c r="J98" s="8">
        <f t="shared" si="31"/>
        <v>1.5864920454474905E-07</v>
      </c>
      <c r="K98" s="8">
        <f>'Enter data'!$C$83/D98</f>
        <v>216.4269162943987</v>
      </c>
      <c r="L98" s="8"/>
      <c r="M98" s="8">
        <f>1+(2.7182818^(-G98/2/'Enter data'!C$31))^1.6</f>
        <v>1.4815035015839304</v>
      </c>
      <c r="N98" s="8">
        <f>1+(2.7182818^(-H98/2/'Enter data'!D$31))^1.6</f>
        <v>1.1751546033727591</v>
      </c>
      <c r="O98" s="8">
        <f t="shared" si="21"/>
        <v>0.11121868649724219</v>
      </c>
      <c r="P98" s="8">
        <f t="shared" si="22"/>
        <v>0.14562906271785817</v>
      </c>
      <c r="Q98" s="58">
        <f>8.686*O98/2/'Enter data'!C$45</f>
        <v>0.006432459444914314</v>
      </c>
      <c r="R98" s="58">
        <f>8.686*P98/2/'Enter data'!C$45</f>
        <v>0.008422622757343333</v>
      </c>
      <c r="S98" s="58">
        <f t="shared" si="23"/>
        <v>0.0019606374801616417</v>
      </c>
      <c r="T98" s="58">
        <f t="shared" si="24"/>
        <v>0.002567246634157319</v>
      </c>
      <c r="U98" s="36">
        <f t="shared" si="18"/>
        <v>0.25684774921510034</v>
      </c>
      <c r="V98" s="36">
        <f>U98/(2*'Enter data'!$C$45)</f>
        <v>0.001710232811680595</v>
      </c>
      <c r="W98" s="36">
        <f t="shared" si="25"/>
        <v>0.014854876974320246</v>
      </c>
      <c r="Y98" s="8"/>
      <c r="Z98" s="8">
        <f>4*PI()^2*D98*'Enter data'!$C$82*'Enter data'!$E$14*'Enter data'!$E$15/LN('Enter data'!$C$44)</f>
        <v>6.939655189303385E-08</v>
      </c>
      <c r="AA98" s="58">
        <f>27.28753*'Enter data'!$E$14^0.5*'Enter data'!$E$15*D98/'Enter data'!$C$83</f>
        <v>2.2615814453364752E-05</v>
      </c>
      <c r="AB98" s="58">
        <f t="shared" si="32"/>
        <v>6.893384068935855E-06</v>
      </c>
      <c r="AC98" s="8"/>
      <c r="AD98" s="36">
        <f>2*PI()/'Enter data'!$E$10/LN($C$3/$C$2)</f>
        <v>4.19829126836701E-16</v>
      </c>
      <c r="AE98" s="52">
        <f>8.686*AD98*'Enter data'!$C$45/2</f>
        <v>1.3691559855720513E-13</v>
      </c>
      <c r="AF98" s="58">
        <f t="shared" si="26"/>
        <v>4.17323819060001E-14</v>
      </c>
      <c r="AH98" s="8">
        <f t="shared" si="19"/>
        <v>0.014877698016847926</v>
      </c>
      <c r="AI98" s="58">
        <f t="shared" si="27"/>
        <v>0.0045347774984296286</v>
      </c>
    </row>
    <row r="99" spans="4:35" ht="12.75">
      <c r="D99" s="8">
        <f>D98*'Enter data'!$C$74</f>
        <v>1639164.8739468784</v>
      </c>
      <c r="E99" s="36">
        <f t="shared" si="20"/>
        <v>0.0016391648739468784</v>
      </c>
      <c r="G99" s="8">
        <f t="shared" si="28"/>
        <v>6.399289372241031E-05</v>
      </c>
      <c r="H99" s="8">
        <f t="shared" si="29"/>
        <v>5.084599877683542E-05</v>
      </c>
      <c r="I99" s="8">
        <f t="shared" si="30"/>
        <v>5.084611308880758E-07</v>
      </c>
      <c r="J99" s="8">
        <f t="shared" si="31"/>
        <v>1.4726708750752043E-07</v>
      </c>
      <c r="K99" s="8">
        <f>'Enter data'!$C$83/D99</f>
        <v>182.89341283780803</v>
      </c>
      <c r="L99" s="8"/>
      <c r="M99" s="8">
        <f>1+(2.7182818^(-G99/2/'Enter data'!C$31))^1.6</f>
        <v>1.5107671862137473</v>
      </c>
      <c r="N99" s="8">
        <f>1+(2.7182818^(-H99/2/'Enter data'!D$31))^1.6</f>
        <v>1.2016042294467544</v>
      </c>
      <c r="O99" s="8">
        <f t="shared" si="21"/>
        <v>0.11895513705103515</v>
      </c>
      <c r="P99" s="8">
        <f t="shared" si="22"/>
        <v>0.164026168270894</v>
      </c>
      <c r="Q99" s="58">
        <f>8.686*O99/2/'Enter data'!C$45</f>
        <v>0.0068799058768238665</v>
      </c>
      <c r="R99" s="58">
        <f>8.686*P99/2/'Enter data'!C$45</f>
        <v>0.009486640316808445</v>
      </c>
      <c r="S99" s="58">
        <f t="shared" si="23"/>
        <v>0.0020970208110289764</v>
      </c>
      <c r="T99" s="58">
        <f t="shared" si="24"/>
        <v>0.0028915631299708745</v>
      </c>
      <c r="U99" s="36">
        <f t="shared" si="18"/>
        <v>0.28298130532192917</v>
      </c>
      <c r="V99" s="36">
        <f>U99/(2*'Enter data'!$C$45)</f>
        <v>0.001884244323466764</v>
      </c>
      <c r="W99" s="36">
        <f t="shared" si="25"/>
        <v>0.016366320084313494</v>
      </c>
      <c r="Y99" s="8"/>
      <c r="Z99" s="8">
        <f>4*PI()^2*D99*'Enter data'!$C$82*'Enter data'!$E$14*'Enter data'!$E$15/LN('Enter data'!$C$44)</f>
        <v>8.212040824560914E-08</v>
      </c>
      <c r="AA99" s="58">
        <f>27.28753*'Enter data'!$E$14^0.5*'Enter data'!$E$15*D99/'Enter data'!$C$83</f>
        <v>2.6762423565077627E-05</v>
      </c>
      <c r="AB99" s="58">
        <f t="shared" si="32"/>
        <v>8.157285895232145E-06</v>
      </c>
      <c r="AC99" s="8"/>
      <c r="AD99" s="36">
        <f>2*PI()/'Enter data'!$E$10/LN($C$3/$C$2)</f>
        <v>4.19829126836701E-16</v>
      </c>
      <c r="AE99" s="52">
        <f>8.686*AD99*'Enter data'!$C$45/2</f>
        <v>1.3691559855720513E-13</v>
      </c>
      <c r="AF99" s="58">
        <f t="shared" si="26"/>
        <v>4.17323819060001E-14</v>
      </c>
      <c r="AH99" s="8">
        <f t="shared" si="19"/>
        <v>0.016393308617334304</v>
      </c>
      <c r="AI99" s="58">
        <f t="shared" si="27"/>
        <v>0.0049967412269368155</v>
      </c>
    </row>
    <row r="100" spans="4:35" ht="12.75">
      <c r="D100" s="8">
        <f>D99*'Enter data'!$C$74</f>
        <v>1939705.7196424252</v>
      </c>
      <c r="E100" s="36">
        <f t="shared" si="20"/>
        <v>0.0019397057196424252</v>
      </c>
      <c r="G100" s="8">
        <f t="shared" si="28"/>
        <v>5.88267892560516E-05</v>
      </c>
      <c r="H100" s="8">
        <f t="shared" si="29"/>
        <v>4.6741234542904716E-05</v>
      </c>
      <c r="I100" s="8">
        <f t="shared" si="30"/>
        <v>4.933249930679718E-07</v>
      </c>
      <c r="J100" s="8">
        <f t="shared" si="31"/>
        <v>1.365834210839357E-07</v>
      </c>
      <c r="K100" s="8">
        <f>'Enter data'!$C$83/D100</f>
        <v>154.5556395303434</v>
      </c>
      <c r="L100" s="8"/>
      <c r="M100" s="8">
        <f>1+(2.7182818^(-G100/2/'Enter data'!C$31))^1.6</f>
        <v>1.5392348545681973</v>
      </c>
      <c r="N100" s="8">
        <f>1+(2.7182818^(-H100/2/'Enter data'!D$31))^1.6</f>
        <v>1.2294282689158447</v>
      </c>
      <c r="O100" s="8">
        <f t="shared" si="21"/>
        <v>0.1272689712186651</v>
      </c>
      <c r="P100" s="8">
        <f t="shared" si="22"/>
        <v>0.18514174134611436</v>
      </c>
      <c r="Q100" s="58">
        <f>8.686*O100/2/'Enter data'!C$45</f>
        <v>0.007360745947852297</v>
      </c>
      <c r="R100" s="58">
        <f>8.686*P100/2/'Enter data'!C$45</f>
        <v>0.010707883542566623</v>
      </c>
      <c r="S100" s="58">
        <f t="shared" si="23"/>
        <v>0.002243582646870366</v>
      </c>
      <c r="T100" s="58">
        <f t="shared" si="24"/>
        <v>0.0032638025916138205</v>
      </c>
      <c r="U100" s="36">
        <f t="shared" si="18"/>
        <v>0.3124107125647795</v>
      </c>
      <c r="V100" s="36">
        <f>U100/(2*'Enter data'!$C$45)</f>
        <v>0.0020802014149687914</v>
      </c>
      <c r="W100" s="36">
        <f t="shared" si="25"/>
        <v>0.018068379866249124</v>
      </c>
      <c r="Y100" s="8"/>
      <c r="Z100" s="8">
        <f>4*PI()^2*D100*'Enter data'!$C$82*'Enter data'!$E$14*'Enter data'!$E$15/LN('Enter data'!$C$44)</f>
        <v>9.717718339695294E-08</v>
      </c>
      <c r="AA100" s="58">
        <f>27.28753*'Enter data'!$E$14^0.5*'Enter data'!$E$15*D100/'Enter data'!$C$83</f>
        <v>3.1669313371558145E-05</v>
      </c>
      <c r="AB100" s="58">
        <f t="shared" si="32"/>
        <v>9.65292409520792E-06</v>
      </c>
      <c r="AC100" s="8"/>
      <c r="AD100" s="36">
        <f>2*PI()/'Enter data'!$E$10/LN($C$3/$C$2)</f>
        <v>4.19829126836701E-16</v>
      </c>
      <c r="AE100" s="52">
        <f>8.686*AD100*'Enter data'!$C$45/2</f>
        <v>1.3691559855720513E-13</v>
      </c>
      <c r="AF100" s="58">
        <f t="shared" si="26"/>
        <v>4.17323819060001E-14</v>
      </c>
      <c r="AH100" s="8">
        <f t="shared" si="19"/>
        <v>0.018100298803927394</v>
      </c>
      <c r="AI100" s="58">
        <f t="shared" si="27"/>
        <v>0.005517038162621127</v>
      </c>
    </row>
    <row r="101" spans="4:35" ht="12.75">
      <c r="D101" s="8">
        <f>D100*'Enter data'!$C$74</f>
        <v>2295350.7231728733</v>
      </c>
      <c r="E101" s="36">
        <f t="shared" si="20"/>
        <v>0.0022953507231728734</v>
      </c>
      <c r="G101" s="8">
        <f t="shared" si="28"/>
        <v>5.407774102523527E-05</v>
      </c>
      <c r="H101" s="8">
        <f t="shared" si="29"/>
        <v>4.2967845241544566E-05</v>
      </c>
      <c r="I101" s="8">
        <f t="shared" si="30"/>
        <v>4.775828281620659E-07</v>
      </c>
      <c r="J101" s="8">
        <f t="shared" si="31"/>
        <v>1.2657570761413987E-07</v>
      </c>
      <c r="K101" s="8">
        <f>'Enter data'!$C$83/D101</f>
        <v>130.60856233142252</v>
      </c>
      <c r="L101" s="8"/>
      <c r="M101" s="8">
        <f>1+(2.7182818^(-G101/2/'Enter data'!C$31))^1.6</f>
        <v>1.5668019636869466</v>
      </c>
      <c r="N101" s="8">
        <f>1+(2.7182818^(-H101/2/'Enter data'!D$31))^1.6</f>
        <v>1.2583815407904035</v>
      </c>
      <c r="O101" s="8">
        <f t="shared" si="21"/>
        <v>0.13621514131026474</v>
      </c>
      <c r="P101" s="8">
        <f t="shared" si="22"/>
        <v>0.20930049477266746</v>
      </c>
      <c r="Q101" s="58">
        <f>8.686*O101/2/'Enter data'!C$45</f>
        <v>0.007878157887463245</v>
      </c>
      <c r="R101" s="58">
        <f>8.686*P101/2/'Enter data'!C$45</f>
        <v>0.01210513257103668</v>
      </c>
      <c r="S101" s="58">
        <f t="shared" si="23"/>
        <v>0.0024012917238061585</v>
      </c>
      <c r="T101" s="58">
        <f t="shared" si="24"/>
        <v>0.003689689274273555</v>
      </c>
      <c r="U101" s="36">
        <f t="shared" si="18"/>
        <v>0.34551563608293223</v>
      </c>
      <c r="V101" s="36">
        <f>U101/(2*'Enter data'!$C$45)</f>
        <v>0.0023006321043633348</v>
      </c>
      <c r="W101" s="36">
        <f t="shared" si="25"/>
        <v>0.0199830143826474</v>
      </c>
      <c r="Y101" s="8"/>
      <c r="Z101" s="8">
        <f>4*PI()^2*D101*'Enter data'!$C$82*'Enter data'!$E$14*'Enter data'!$E$15/LN('Enter data'!$C$44)</f>
        <v>1.1499461796051106E-07</v>
      </c>
      <c r="AA101" s="58">
        <f>27.28753*'Enter data'!$E$14^0.5*'Enter data'!$E$15*D101/'Enter data'!$C$83</f>
        <v>3.7475881322448624E-05</v>
      </c>
      <c r="AB101" s="58">
        <f t="shared" si="32"/>
        <v>1.1422787528178683E-05</v>
      </c>
      <c r="AC101" s="8"/>
      <c r="AD101" s="36">
        <f>2*PI()/'Enter data'!$E$10/LN($C$3/$C$2)</f>
        <v>4.19829126836701E-16</v>
      </c>
      <c r="AE101" s="52">
        <f>8.686*AD101*'Enter data'!$C$45/2</f>
        <v>1.3691559855720513E-13</v>
      </c>
      <c r="AF101" s="58">
        <f t="shared" si="26"/>
        <v>4.17323819060001E-14</v>
      </c>
      <c r="AH101" s="8">
        <f t="shared" si="19"/>
        <v>0.02002076633995929</v>
      </c>
      <c r="AI101" s="58">
        <f t="shared" si="27"/>
        <v>0.0061024037856496245</v>
      </c>
    </row>
    <row r="102" spans="4:35" ht="12.75">
      <c r="D102" s="8">
        <f>D101*'Enter data'!$C$74</f>
        <v>2716203.2307361956</v>
      </c>
      <c r="E102" s="36">
        <f t="shared" si="20"/>
        <v>0.0027162032307361957</v>
      </c>
      <c r="G102" s="8">
        <f t="shared" si="28"/>
        <v>4.9712080352771855E-05</v>
      </c>
      <c r="H102" s="8">
        <f t="shared" si="29"/>
        <v>3.9499079191128924E-05</v>
      </c>
      <c r="I102" s="8">
        <f t="shared" si="30"/>
        <v>4.612688085176329E-07</v>
      </c>
      <c r="J102" s="8">
        <f t="shared" si="31"/>
        <v>1.1721816351409979E-07</v>
      </c>
      <c r="K102" s="8">
        <f>'Enter data'!$C$83/D102</f>
        <v>110.37188035401338</v>
      </c>
      <c r="L102" s="8"/>
      <c r="M102" s="8">
        <f>1+(2.7182818^(-G102/2/'Enter data'!C$31))^1.6</f>
        <v>1.5933851484733705</v>
      </c>
      <c r="N102" s="8">
        <f>1+(2.7182818^(-H102/2/'Enter data'!D$31))^1.6</f>
        <v>1.2882101223689055</v>
      </c>
      <c r="O102" s="8">
        <f t="shared" si="21"/>
        <v>0.14585902816118762</v>
      </c>
      <c r="P102" s="8">
        <f t="shared" si="22"/>
        <v>0.23685057469598247</v>
      </c>
      <c r="Q102" s="58">
        <f>8.686*O102/2/'Enter data'!C$45</f>
        <v>0.008435923070757708</v>
      </c>
      <c r="R102" s="58">
        <f>8.686*P102/2/'Enter data'!C$45</f>
        <v>0.013698522831182095</v>
      </c>
      <c r="S102" s="58">
        <f t="shared" si="23"/>
        <v>0.0025713006189824763</v>
      </c>
      <c r="T102" s="58">
        <f t="shared" si="24"/>
        <v>0.004175360531328364</v>
      </c>
      <c r="U102" s="36">
        <f t="shared" si="18"/>
        <v>0.3827096028571701</v>
      </c>
      <c r="V102" s="36">
        <f>U102/(2*'Enter data'!$C$45)</f>
        <v>0.002548289880490422</v>
      </c>
      <c r="W102" s="36">
        <f t="shared" si="25"/>
        <v>0.022134140107154143</v>
      </c>
      <c r="Y102" s="8"/>
      <c r="Z102" s="8">
        <f>4*PI()^2*D102*'Enter data'!$C$82*'Enter data'!$E$14*'Enter data'!$E$15/LN('Enter data'!$C$44)</f>
        <v>1.360788787823473E-07</v>
      </c>
      <c r="AA102" s="58">
        <f>27.28753*'Enter data'!$E$14^0.5*'Enter data'!$E$15*D102/'Enter data'!$C$83</f>
        <v>4.434708338689677E-05</v>
      </c>
      <c r="AB102" s="58">
        <f t="shared" si="32"/>
        <v>1.3517155384935616E-05</v>
      </c>
      <c r="AC102" s="8"/>
      <c r="AD102" s="36">
        <f>2*PI()/'Enter data'!$E$10/LN($C$3/$C$2)</f>
        <v>4.19829126836701E-16</v>
      </c>
      <c r="AE102" s="52">
        <f>8.686*AD102*'Enter data'!$C$45/2</f>
        <v>1.3691559855720513E-13</v>
      </c>
      <c r="AF102" s="58">
        <f t="shared" si="26"/>
        <v>4.17323819060001E-14</v>
      </c>
      <c r="AH102" s="8">
        <f t="shared" si="19"/>
        <v>0.022178792985463616</v>
      </c>
      <c r="AI102" s="58">
        <f t="shared" si="27"/>
        <v>0.006760178305737508</v>
      </c>
    </row>
    <row r="103" spans="4:35" ht="12.75">
      <c r="D103" s="8">
        <f>D102*'Enter data'!$C$74</f>
        <v>3214219.0368465506</v>
      </c>
      <c r="E103" s="36">
        <f t="shared" si="20"/>
        <v>0.0032142190368465505</v>
      </c>
      <c r="G103" s="8">
        <f t="shared" si="28"/>
        <v>4.569885661176607E-05</v>
      </c>
      <c r="H103" s="8">
        <f t="shared" si="29"/>
        <v>3.631034435579694E-05</v>
      </c>
      <c r="I103" s="8">
        <f t="shared" si="30"/>
        <v>4.44426607720363E-07</v>
      </c>
      <c r="J103" s="8">
        <f t="shared" si="31"/>
        <v>1.0848269553317723E-07</v>
      </c>
      <c r="K103" s="8">
        <f>'Enter data'!$C$83/D103</f>
        <v>93.27069952710019</v>
      </c>
      <c r="L103" s="8"/>
      <c r="M103" s="8">
        <f>1+(2.7182818^(-G103/2/'Enter data'!C$31))^1.6</f>
        <v>1.6189207663552194</v>
      </c>
      <c r="N103" s="8">
        <f>1+(2.7182818^(-H103/2/'Enter data'!D$31))^1.6</f>
        <v>1.3186592652336853</v>
      </c>
      <c r="O103" s="8">
        <f t="shared" si="21"/>
        <v>0.1562776995312341</v>
      </c>
      <c r="P103" s="8">
        <f t="shared" si="22"/>
        <v>0.26816411068872814</v>
      </c>
      <c r="Q103" s="58">
        <f>8.686*O103/2/'Enter data'!C$45</f>
        <v>0.00903849879942697</v>
      </c>
      <c r="R103" s="58">
        <f>8.686*P103/2/'Enter data'!C$45</f>
        <v>0.015509576860805036</v>
      </c>
      <c r="S103" s="58">
        <f t="shared" si="23"/>
        <v>0.0027549679344754234</v>
      </c>
      <c r="T103" s="58">
        <f t="shared" si="24"/>
        <v>0.004727376512071761</v>
      </c>
      <c r="U103" s="36">
        <f t="shared" si="18"/>
        <v>0.42444181021996225</v>
      </c>
      <c r="V103" s="36">
        <f>U103/(2*'Enter data'!$C$45)</f>
        <v>0.0028261657449035237</v>
      </c>
      <c r="W103" s="36">
        <f t="shared" si="25"/>
        <v>0.024547736520342617</v>
      </c>
      <c r="Y103" s="8"/>
      <c r="Z103" s="8">
        <f>4*PI()^2*D103*'Enter data'!$C$82*'Enter data'!$E$14*'Enter data'!$E$15/LN('Enter data'!$C$44)</f>
        <v>1.6102893838926997E-07</v>
      </c>
      <c r="AA103" s="58">
        <f>27.28753*'Enter data'!$E$14^0.5*'Enter data'!$E$15*D103/'Enter data'!$C$83</f>
        <v>5.2478120207577705E-05</v>
      </c>
      <c r="AB103" s="58">
        <f t="shared" si="32"/>
        <v>1.599552554486031E-05</v>
      </c>
      <c r="AC103" s="8"/>
      <c r="AD103" s="36">
        <f>2*PI()/'Enter data'!$E$10/LN($C$3/$C$2)</f>
        <v>4.19829126836701E-16</v>
      </c>
      <c r="AE103" s="52">
        <f>8.686*AD103*'Enter data'!$C$45/2</f>
        <v>1.3691559855720513E-13</v>
      </c>
      <c r="AF103" s="58">
        <f t="shared" si="26"/>
        <v>4.17323819060001E-14</v>
      </c>
      <c r="AH103" s="8">
        <f t="shared" si="19"/>
        <v>0.024600553780576496</v>
      </c>
      <c r="AI103" s="58">
        <f t="shared" si="27"/>
        <v>0.007498339972133777</v>
      </c>
    </row>
    <row r="104" spans="4:35" ht="12.75">
      <c r="D104" s="8">
        <f>D103*'Enter data'!$C$74</f>
        <v>3803546.0306946966</v>
      </c>
      <c r="E104" s="36">
        <f t="shared" si="20"/>
        <v>0.0038035460306946964</v>
      </c>
      <c r="G104" s="8">
        <f t="shared" si="28"/>
        <v>4.200961779919376E-05</v>
      </c>
      <c r="H104" s="8">
        <f t="shared" si="29"/>
        <v>3.337903399866249E-05</v>
      </c>
      <c r="I104" s="8">
        <f t="shared" si="30"/>
        <v>4.271097615790734E-07</v>
      </c>
      <c r="J104" s="8">
        <f t="shared" si="31"/>
        <v>1.0033972815519489E-07</v>
      </c>
      <c r="K104" s="8">
        <f>'Enter data'!$C$83/D104</f>
        <v>78.81920070919836</v>
      </c>
      <c r="L104" s="8"/>
      <c r="M104" s="8">
        <f>1+(2.7182818^(-G104/2/'Enter data'!C$31))^1.6</f>
        <v>1.6433632067015698</v>
      </c>
      <c r="N104" s="8">
        <f>1+(2.7182818^(-H104/2/'Enter data'!D$31))^1.6</f>
        <v>1.3494802785778612</v>
      </c>
      <c r="O104" s="8">
        <f t="shared" si="21"/>
        <v>0.16756121285458545</v>
      </c>
      <c r="P104" s="8">
        <f t="shared" si="22"/>
        <v>0.3036379880904578</v>
      </c>
      <c r="Q104" s="58">
        <f>8.686*O104/2/'Enter data'!C$45</f>
        <v>0.009691093647779253</v>
      </c>
      <c r="R104" s="58">
        <f>8.686*P104/2/'Enter data'!C$45</f>
        <v>0.017561248975689673</v>
      </c>
      <c r="S104" s="58">
        <f t="shared" si="23"/>
        <v>0.002953881263039275</v>
      </c>
      <c r="T104" s="58">
        <f t="shared" si="24"/>
        <v>0.005352733777032941</v>
      </c>
      <c r="U104" s="36">
        <f t="shared" si="18"/>
        <v>0.4711992009450432</v>
      </c>
      <c r="V104" s="36">
        <f>U104/(2*'Enter data'!$C$45)</f>
        <v>0.003137502028951062</v>
      </c>
      <c r="W104" s="36">
        <f t="shared" si="25"/>
        <v>0.027251966123225446</v>
      </c>
      <c r="Y104" s="8"/>
      <c r="Z104" s="8">
        <f>4*PI()^2*D104*'Enter data'!$C$82*'Enter data'!$E$14*'Enter data'!$E$15/LN('Enter data'!$C$44)</f>
        <v>1.9055359090847454E-07</v>
      </c>
      <c r="AA104" s="58">
        <f>27.28753*'Enter data'!$E$14^0.5*'Enter data'!$E$15*D104/'Enter data'!$C$83</f>
        <v>6.2099982460959E-05</v>
      </c>
      <c r="AB104" s="58">
        <f t="shared" si="32"/>
        <v>1.892830482228694E-05</v>
      </c>
      <c r="AC104" s="8"/>
      <c r="AD104" s="36">
        <f>2*PI()/'Enter data'!$E$10/LN($C$3/$C$2)</f>
        <v>4.19829126836701E-16</v>
      </c>
      <c r="AE104" s="52">
        <f>8.686*AD104*'Enter data'!$C$45/2</f>
        <v>1.3691559855720513E-13</v>
      </c>
      <c r="AF104" s="58">
        <f t="shared" si="26"/>
        <v>4.17323819060001E-14</v>
      </c>
      <c r="AH104" s="8">
        <f t="shared" si="19"/>
        <v>0.027314442606066802</v>
      </c>
      <c r="AI104" s="58">
        <f t="shared" si="27"/>
        <v>0.008325543344936235</v>
      </c>
    </row>
    <row r="105" spans="4:35" ht="12.75">
      <c r="D105" s="8">
        <f>D104*'Enter data'!$C$74</f>
        <v>4500926.116661552</v>
      </c>
      <c r="E105" s="36">
        <f t="shared" si="20"/>
        <v>0.0045009261166615525</v>
      </c>
      <c r="G105" s="8">
        <f t="shared" si="28"/>
        <v>3.861820882363067E-05</v>
      </c>
      <c r="H105" s="8">
        <f t="shared" si="29"/>
        <v>3.0684366409926136E-05</v>
      </c>
      <c r="I105" s="8">
        <f t="shared" si="30"/>
        <v>4.093817926407045E-07</v>
      </c>
      <c r="J105" s="8">
        <f t="shared" si="31"/>
        <v>9.275888638563668E-08</v>
      </c>
      <c r="K105" s="8">
        <f>'Enter data'!$C$83/D105</f>
        <v>66.6068382882862</v>
      </c>
      <c r="L105" s="8"/>
      <c r="M105" s="8">
        <f>1+(2.7182818^(-G105/2/'Enter data'!C$31))^1.6</f>
        <v>1.6666830667143004</v>
      </c>
      <c r="N105" s="8">
        <f>1+(2.7182818^(-H105/2/'Enter data'!D$31))^1.6</f>
        <v>1.380436223834283</v>
      </c>
      <c r="O105" s="8">
        <f t="shared" si="21"/>
        <v>0.17981395634201852</v>
      </c>
      <c r="P105" s="8">
        <f t="shared" si="22"/>
        <v>0.3436949167256518</v>
      </c>
      <c r="Q105" s="58">
        <f>8.686*O105/2/'Enter data'!C$45</f>
        <v>0.01039974502691423</v>
      </c>
      <c r="R105" s="58">
        <f>8.686*P105/2/'Enter data'!C$45</f>
        <v>0.019877987080127738</v>
      </c>
      <c r="S105" s="58">
        <f t="shared" si="23"/>
        <v>0.003169880829954349</v>
      </c>
      <c r="T105" s="58">
        <f t="shared" si="24"/>
        <v>0.006058884138054053</v>
      </c>
      <c r="U105" s="36">
        <f t="shared" si="18"/>
        <v>0.5235088730676702</v>
      </c>
      <c r="V105" s="36">
        <f>U105/(2*'Enter data'!$C$45)</f>
        <v>0.0034858084396778683</v>
      </c>
      <c r="W105" s="36">
        <f t="shared" si="25"/>
        <v>0.0302773138100292</v>
      </c>
      <c r="Y105" s="8"/>
      <c r="Z105" s="8">
        <f>4*PI()^2*D105*'Enter data'!$C$82*'Enter data'!$E$14*'Enter data'!$E$15/LN('Enter data'!$C$44)</f>
        <v>2.2549158785570058E-07</v>
      </c>
      <c r="AA105" s="58">
        <f>27.28753*'Enter data'!$E$14^0.5*'Enter data'!$E$15*D105/'Enter data'!$C$83</f>
        <v>7.348601295925534E-05</v>
      </c>
      <c r="AB105" s="58">
        <f t="shared" si="32"/>
        <v>2.239880911949992E-05</v>
      </c>
      <c r="AC105" s="8"/>
      <c r="AD105" s="36">
        <f>2*PI()/'Enter data'!$E$10/LN($C$3/$C$2)</f>
        <v>4.19829126836701E-16</v>
      </c>
      <c r="AE105" s="52">
        <f>8.686*AD105*'Enter data'!$C$45/2</f>
        <v>1.3691559855720513E-13</v>
      </c>
      <c r="AF105" s="58">
        <f t="shared" si="26"/>
        <v>4.17323819060001E-14</v>
      </c>
      <c r="AH105" s="8">
        <f t="shared" si="19"/>
        <v>0.03035121812013814</v>
      </c>
      <c r="AI105" s="58">
        <f t="shared" si="27"/>
        <v>0.009251163777169634</v>
      </c>
    </row>
    <row r="106" spans="4:35" ht="12.75">
      <c r="D106" s="8">
        <f>D105*'Enter data'!$C$74</f>
        <v>5326170.826949601</v>
      </c>
      <c r="E106" s="36">
        <f t="shared" si="20"/>
        <v>0.005326170826949601</v>
      </c>
      <c r="G106" s="8">
        <f t="shared" si="28"/>
        <v>3.550058607708085E-05</v>
      </c>
      <c r="H106" s="8">
        <f t="shared" si="29"/>
        <v>2.8207237573631716E-05</v>
      </c>
      <c r="I106" s="8">
        <f t="shared" si="30"/>
        <v>3.9131604426939426E-07</v>
      </c>
      <c r="J106" s="8">
        <f t="shared" si="31"/>
        <v>8.57095466625549E-08</v>
      </c>
      <c r="K106" s="8">
        <f>'Enter data'!$C$83/D106</f>
        <v>56.286677190881015</v>
      </c>
      <c r="L106" s="8"/>
      <c r="M106" s="8">
        <f>1+(2.7182818^(-G106/2/'Enter data'!C$31))^1.6</f>
        <v>1.6888652769886603</v>
      </c>
      <c r="N106" s="8">
        <f>1+(2.7182818^(-H106/2/'Enter data'!D$31))^1.6</f>
        <v>1.4113063676289315</v>
      </c>
      <c r="O106" s="8">
        <f t="shared" si="21"/>
        <v>0.19315601312053912</v>
      </c>
      <c r="P106" s="8">
        <f t="shared" si="22"/>
        <v>0.3887848605519911</v>
      </c>
      <c r="Q106" s="58">
        <f>8.686*O106/2/'Enter data'!C$45</f>
        <v>0.011171398081292874</v>
      </c>
      <c r="R106" s="58">
        <f>8.686*P106/2/'Enter data'!C$45</f>
        <v>0.022485815352255228</v>
      </c>
      <c r="S106" s="58">
        <f t="shared" si="23"/>
        <v>0.0034050835409939265</v>
      </c>
      <c r="T106" s="58">
        <f t="shared" si="24"/>
        <v>0.006853759861087304</v>
      </c>
      <c r="U106" s="36">
        <f t="shared" si="18"/>
        <v>0.5819408736725302</v>
      </c>
      <c r="V106" s="36">
        <f>U106/(2*'Enter data'!$C$45)</f>
        <v>0.0038748806623932885</v>
      </c>
      <c r="W106" s="36">
        <f t="shared" si="25"/>
        <v>0.03365674844786861</v>
      </c>
      <c r="Y106" s="8"/>
      <c r="Z106" s="8">
        <f>4*PI()^2*D106*'Enter data'!$C$82*'Enter data'!$E$14*'Enter data'!$E$15/LN('Enter data'!$C$44)</f>
        <v>2.6683546581973036E-07</v>
      </c>
      <c r="AA106" s="58">
        <f>27.28753*'Enter data'!$E$14^0.5*'Enter data'!$E$15*D106/'Enter data'!$C$83</f>
        <v>8.695967191364085E-05</v>
      </c>
      <c r="AB106" s="58">
        <f t="shared" si="32"/>
        <v>2.650563030774227E-05</v>
      </c>
      <c r="AC106" s="8"/>
      <c r="AD106" s="36">
        <f>2*PI()/'Enter data'!$E$10/LN($C$3/$C$2)</f>
        <v>4.19829126836701E-16</v>
      </c>
      <c r="AE106" s="52">
        <f>8.686*AD106*'Enter data'!$C$45/2</f>
        <v>1.3691559855720513E-13</v>
      </c>
      <c r="AF106" s="58">
        <f t="shared" si="26"/>
        <v>4.17323819060001E-14</v>
      </c>
      <c r="AH106" s="8">
        <f t="shared" si="19"/>
        <v>0.033744173105598664</v>
      </c>
      <c r="AI106" s="58">
        <f t="shared" si="27"/>
        <v>0.010285349032430707</v>
      </c>
    </row>
    <row r="107" spans="4:35" ht="12.75">
      <c r="D107" s="8">
        <f>D106*'Enter data'!$C$74</f>
        <v>6302724.1377804065</v>
      </c>
      <c r="E107" s="36">
        <f t="shared" si="20"/>
        <v>0.006302724137780407</v>
      </c>
      <c r="G107" s="8">
        <f t="shared" si="28"/>
        <v>3.2634646976300157E-05</v>
      </c>
      <c r="H107" s="8">
        <f t="shared" si="29"/>
        <v>2.593008572853945E-05</v>
      </c>
      <c r="I107" s="8">
        <f t="shared" si="30"/>
        <v>3.72995173805648E-07</v>
      </c>
      <c r="J107" s="8">
        <f t="shared" si="31"/>
        <v>7.916127258052325E-08</v>
      </c>
      <c r="K107" s="8">
        <f>'Enter data'!$C$83/D107</f>
        <v>47.56553697201416</v>
      </c>
      <c r="L107" s="8"/>
      <c r="M107" s="8">
        <f>1+(2.7182818^(-G107/2/'Enter data'!C$31))^1.6</f>
        <v>1.7099072423610806</v>
      </c>
      <c r="N107" s="8">
        <f>1+(2.7182818^(-H107/2/'Enter data'!D$31))^1.6</f>
        <v>1.4418894218795708</v>
      </c>
      <c r="O107" s="8">
        <f t="shared" si="21"/>
        <v>0.2077245204345777</v>
      </c>
      <c r="P107" s="8">
        <f t="shared" si="22"/>
        <v>0.43938688037219176</v>
      </c>
      <c r="Q107" s="58">
        <f>8.686*O107/2/'Enter data'!C$45</f>
        <v>0.012013984299687159</v>
      </c>
      <c r="R107" s="58">
        <f>8.686*P107/2/'Enter data'!C$45</f>
        <v>0.025412440819390758</v>
      </c>
      <c r="S107" s="58">
        <f t="shared" si="23"/>
        <v>0.003661906943333077</v>
      </c>
      <c r="T107" s="58">
        <f t="shared" si="24"/>
        <v>0.007745806150753096</v>
      </c>
      <c r="U107" s="36">
        <f t="shared" si="18"/>
        <v>0.6471114008067694</v>
      </c>
      <c r="V107" s="36">
        <f>U107/(2*'Enter data'!$C$45)</f>
        <v>0.004308821680759603</v>
      </c>
      <c r="W107" s="36">
        <f t="shared" si="25"/>
        <v>0.03742590806047622</v>
      </c>
      <c r="Y107" s="8"/>
      <c r="Z107" s="8">
        <f>4*PI()^2*D107*'Enter data'!$C$82*'Enter data'!$E$14*'Enter data'!$E$15/LN('Enter data'!$C$44)</f>
        <v>3.1575974295234655E-07</v>
      </c>
      <c r="AA107" s="58">
        <f>27.28753*'Enter data'!$E$14^0.5*'Enter data'!$E$15*D107/'Enter data'!$C$83</f>
        <v>0.00010290372595831037</v>
      </c>
      <c r="AB107" s="58">
        <f t="shared" si="32"/>
        <v>3.136543707580784E-05</v>
      </c>
      <c r="AC107" s="8"/>
      <c r="AD107" s="36">
        <f>2*PI()/'Enter data'!$E$10/LN($C$3/$C$2)</f>
        <v>4.19829126836701E-16</v>
      </c>
      <c r="AE107" s="52">
        <f>8.686*AD107*'Enter data'!$C$45/2</f>
        <v>1.3691559855720513E-13</v>
      </c>
      <c r="AF107" s="58">
        <f t="shared" si="26"/>
        <v>4.17323819060001E-14</v>
      </c>
      <c r="AH107" s="8">
        <f t="shared" si="19"/>
        <v>0.03752932884517314</v>
      </c>
      <c r="AI107" s="58">
        <f t="shared" si="27"/>
        <v>0.011439078531203711</v>
      </c>
    </row>
    <row r="108" spans="4:35" ht="12.75">
      <c r="D108" s="8">
        <f>D107*'Enter data'!$C$74</f>
        <v>7458328.477930296</v>
      </c>
      <c r="E108" s="36">
        <f t="shared" si="20"/>
        <v>0.007458328477930296</v>
      </c>
      <c r="G108" s="8">
        <f t="shared" si="28"/>
        <v>3.000007326513725E-05</v>
      </c>
      <c r="H108" s="8">
        <f t="shared" si="29"/>
        <v>2.3836766862911097E-05</v>
      </c>
      <c r="I108" s="8">
        <f t="shared" si="30"/>
        <v>3.5451026265791777E-07</v>
      </c>
      <c r="J108" s="8">
        <f t="shared" si="31"/>
        <v>7.308415288856308E-08</v>
      </c>
      <c r="K108" s="8">
        <f>'Enter data'!$C$83/D108</f>
        <v>40.19566299434335</v>
      </c>
      <c r="L108" s="8"/>
      <c r="M108" s="8">
        <f>1+(2.7182818^(-G108/2/'Enter data'!C$31))^1.6</f>
        <v>1.72981704772008</v>
      </c>
      <c r="N108" s="8">
        <f>1+(2.7182818^(-H108/2/'Enter data'!D$31))^1.6</f>
        <v>1.4720056596036624</v>
      </c>
      <c r="O108" s="8">
        <f t="shared" si="21"/>
        <v>0.22367498023312546</v>
      </c>
      <c r="P108" s="8">
        <f t="shared" si="22"/>
        <v>0.4960114284822895</v>
      </c>
      <c r="Q108" s="58">
        <f>8.686*O108/2/'Enter data'!C$45</f>
        <v>0.012936497314480214</v>
      </c>
      <c r="R108" s="58">
        <f>8.686*P108/2/'Enter data'!C$45</f>
        <v>0.02868738607163337</v>
      </c>
      <c r="S108" s="58">
        <f t="shared" si="23"/>
        <v>0.003943092329456295</v>
      </c>
      <c r="T108" s="58">
        <f t="shared" si="24"/>
        <v>0.008744021601936531</v>
      </c>
      <c r="U108" s="36">
        <f t="shared" si="18"/>
        <v>0.719686408715415</v>
      </c>
      <c r="V108" s="36">
        <f>U108/(2*'Enter data'!$C$45)</f>
        <v>0.004792065782421551</v>
      </c>
      <c r="W108" s="36">
        <f t="shared" si="25"/>
        <v>0.0416233083382197</v>
      </c>
      <c r="Y108" s="8"/>
      <c r="Z108" s="8">
        <f>4*PI()^2*D108*'Enter data'!$C$82*'Enter data'!$E$14*'Enter data'!$E$15/LN('Enter data'!$C$44)</f>
        <v>3.736542852841402E-07</v>
      </c>
      <c r="AA108" s="58">
        <f>27.28753*'Enter data'!$E$14^0.5*'Enter data'!$E$15*D108/'Enter data'!$C$83</f>
        <v>0.00012177112198191235</v>
      </c>
      <c r="AB108" s="58">
        <f t="shared" si="32"/>
        <v>3.711628931416494E-05</v>
      </c>
      <c r="AC108" s="8"/>
      <c r="AD108" s="36">
        <f>2*PI()/'Enter data'!$E$10/LN($C$3/$C$2)</f>
        <v>4.19829126836701E-16</v>
      </c>
      <c r="AE108" s="52">
        <f>8.686*AD108*'Enter data'!$C$45/2</f>
        <v>1.3691559855720513E-13</v>
      </c>
      <c r="AF108" s="58">
        <f t="shared" si="26"/>
        <v>4.17323819060001E-14</v>
      </c>
      <c r="AH108" s="8">
        <f t="shared" si="19"/>
        <v>0.041745654508232415</v>
      </c>
      <c r="AI108" s="58">
        <f t="shared" si="27"/>
        <v>0.012724230220748724</v>
      </c>
    </row>
    <row r="109" spans="4:35" ht="12.75">
      <c r="D109" s="8">
        <f>D108*'Enter data'!$C$74</f>
        <v>8825812.849917268</v>
      </c>
      <c r="E109" s="36">
        <f t="shared" si="20"/>
        <v>0.008825812849917269</v>
      </c>
      <c r="G109" s="8">
        <f t="shared" si="28"/>
        <v>2.7578186966974135E-05</v>
      </c>
      <c r="H109" s="8">
        <f t="shared" si="29"/>
        <v>2.191244026051975E-05</v>
      </c>
      <c r="I109" s="8">
        <f t="shared" si="30"/>
        <v>3.3595951521480474E-07</v>
      </c>
      <c r="J109" s="8">
        <f t="shared" si="31"/>
        <v>6.744905815084858E-08</v>
      </c>
      <c r="K109" s="8">
        <f>'Enter data'!$C$83/D109</f>
        <v>33.967688086974356</v>
      </c>
      <c r="L109" s="8"/>
      <c r="M109" s="8">
        <f>1+(2.7182818^(-G109/2/'Enter data'!C$31))^1.6</f>
        <v>1.7486117645183177</v>
      </c>
      <c r="N109" s="8">
        <f>1+(2.7182818^(-H109/2/'Enter data'!D$31))^1.6</f>
        <v>1.5014980341485278</v>
      </c>
      <c r="O109" s="8">
        <f t="shared" si="21"/>
        <v>0.24118245967228302</v>
      </c>
      <c r="P109" s="8">
        <f t="shared" si="22"/>
        <v>0.5592031217612881</v>
      </c>
      <c r="Q109" s="58">
        <f>8.686*O109/2/'Enter data'!C$45</f>
        <v>0.013949062334098969</v>
      </c>
      <c r="R109" s="58">
        <f>8.686*P109/2/'Enter data'!C$45</f>
        <v>0.03234214964666176</v>
      </c>
      <c r="S109" s="58">
        <f t="shared" si="23"/>
        <v>0.004251725900420314</v>
      </c>
      <c r="T109" s="58">
        <f t="shared" si="24"/>
        <v>0.009858007085668665</v>
      </c>
      <c r="U109" s="36">
        <f aca="true" t="shared" si="33" ref="U109:U114">O109+P109</f>
        <v>0.8003855814335711</v>
      </c>
      <c r="V109" s="36">
        <f>U109/(2*'Enter data'!$C$45)</f>
        <v>0.00532940501735675</v>
      </c>
      <c r="W109" s="36">
        <f t="shared" si="25"/>
        <v>0.046290572452158646</v>
      </c>
      <c r="Y109" s="8"/>
      <c r="Z109" s="8">
        <f>4*PI()^2*D109*'Enter data'!$C$82*'Enter data'!$E$14*'Enter data'!$E$15/LN('Enter data'!$C$44)</f>
        <v>4.4216379075363086E-07</v>
      </c>
      <c r="AA109" s="58">
        <f>27.28753*'Enter data'!$E$14^0.5*'Enter data'!$E$15*D109/'Enter data'!$C$83</f>
        <v>0.0001440978546757497</v>
      </c>
      <c r="AB109" s="58">
        <f t="shared" si="32"/>
        <v>4.3921560191340433E-05</v>
      </c>
      <c r="AC109" s="8"/>
      <c r="AD109" s="36">
        <f>2*PI()/'Enter data'!$E$10/LN($C$3/$C$2)</f>
        <v>4.19829126836701E-16</v>
      </c>
      <c r="AE109" s="52">
        <f>8.686*AD109*'Enter data'!$C$45/2</f>
        <v>1.3691559855720513E-13</v>
      </c>
      <c r="AF109" s="58">
        <f t="shared" si="26"/>
        <v>4.17323819060001E-14</v>
      </c>
      <c r="AH109" s="8">
        <f aca="true" t="shared" si="34" ref="AH109:AH140">Q109+R109+AA109+AE109</f>
        <v>0.046435309835573396</v>
      </c>
      <c r="AI109" s="58">
        <f t="shared" si="27"/>
        <v>0.014153654546322053</v>
      </c>
    </row>
    <row r="110" spans="4:35" ht="12.75">
      <c r="D110" s="8">
        <f>D109*'Enter data'!$C$74</f>
        <v>10444025.453191198</v>
      </c>
      <c r="E110" s="36">
        <f t="shared" si="20"/>
        <v>0.010444025453191199</v>
      </c>
      <c r="G110" s="8">
        <f t="shared" si="28"/>
        <v>2.5351817966031976E-05</v>
      </c>
      <c r="H110" s="8">
        <f t="shared" si="29"/>
        <v>2.0143463286455426E-05</v>
      </c>
      <c r="I110" s="8">
        <f t="shared" si="30"/>
        <v>3.1744653869413113E-07</v>
      </c>
      <c r="J110" s="8">
        <f t="shared" si="31"/>
        <v>6.222783055976637E-08</v>
      </c>
      <c r="K110" s="8">
        <f>'Enter data'!$C$83/D110</f>
        <v>28.70468473517533</v>
      </c>
      <c r="L110" s="8"/>
      <c r="M110" s="8">
        <f>1+(2.7182818^(-G110/2/'Enter data'!C$31))^1.6</f>
        <v>1.7663158819246725</v>
      </c>
      <c r="N110" s="8">
        <f>1+(2.7182818^(-H110/2/'Enter data'!D$31))^1.6</f>
        <v>1.530232450940126</v>
      </c>
      <c r="O110" s="8">
        <f t="shared" si="21"/>
        <v>0.26044260208568104</v>
      </c>
      <c r="P110" s="8">
        <f t="shared" si="22"/>
        <v>0.6295440094652265</v>
      </c>
      <c r="Q110" s="58">
        <f>8.686*O110/2/'Enter data'!C$45</f>
        <v>0.015062994613640222</v>
      </c>
      <c r="R110" s="58">
        <f>8.686*P110/2/'Enter data'!C$45</f>
        <v>0.036410395026327126</v>
      </c>
      <c r="S110" s="58">
        <f t="shared" si="23"/>
        <v>0.004591256587917649</v>
      </c>
      <c r="T110" s="58">
        <f t="shared" si="24"/>
        <v>0.011098023355988517</v>
      </c>
      <c r="U110" s="36">
        <f t="shared" si="33"/>
        <v>0.8899866115509075</v>
      </c>
      <c r="V110" s="36">
        <f>U110/(2*'Enter data'!$C$45)</f>
        <v>0.00592601768823018</v>
      </c>
      <c r="W110" s="36">
        <f>V110*8.68588</f>
        <v>0.05147267851784475</v>
      </c>
      <c r="Y110" s="8"/>
      <c r="Z110" s="8">
        <f>4*PI()^2*D110*'Enter data'!$C$82*'Enter data'!$E$14*'Enter data'!$E$15/LN('Enter data'!$C$44)</f>
        <v>5.232345126323085E-07</v>
      </c>
      <c r="AA110" s="58">
        <f>27.28753*'Enter data'!$E$14^0.5*'Enter data'!$E$15*D110/'Enter data'!$C$83</f>
        <v>0.00017051819334667665</v>
      </c>
      <c r="AB110" s="58">
        <f t="shared" si="32"/>
        <v>5.197457734292753E-05</v>
      </c>
      <c r="AC110" s="8"/>
      <c r="AD110" s="36">
        <f>2*PI()/'Enter data'!$E$10/LN($C$3/$C$2)</f>
        <v>4.19829126836701E-16</v>
      </c>
      <c r="AE110" s="52">
        <f>8.686*AD110*'Enter data'!$C$45/2</f>
        <v>1.3691559855720513E-13</v>
      </c>
      <c r="AF110" s="58">
        <f t="shared" si="26"/>
        <v>4.17323819060001E-14</v>
      </c>
      <c r="AH110" s="8">
        <f t="shared" si="34"/>
        <v>0.05164390783345094</v>
      </c>
      <c r="AI110" s="58">
        <f t="shared" si="27"/>
        <v>0.015741254521290826</v>
      </c>
    </row>
    <row r="111" spans="4:35" ht="12.75">
      <c r="D111" s="8">
        <f>D110*'Enter data'!$C$74</f>
        <v>12358937.303766655</v>
      </c>
      <c r="E111" s="36">
        <f t="shared" si="20"/>
        <v>0.012358937303766655</v>
      </c>
      <c r="G111" s="8">
        <f t="shared" si="28"/>
        <v>2.3305182278751515E-05</v>
      </c>
      <c r="H111" s="8">
        <f t="shared" si="29"/>
        <v>1.8517294666803726E-05</v>
      </c>
      <c r="I111" s="8">
        <f t="shared" si="30"/>
        <v>2.990782223788438E-07</v>
      </c>
      <c r="J111" s="8">
        <f t="shared" si="31"/>
        <v>5.739341929433967E-08</v>
      </c>
      <c r="K111" s="8">
        <f>'Enter data'!$C$83/D111</f>
        <v>24.257138832529858</v>
      </c>
      <c r="L111" s="8"/>
      <c r="M111" s="8">
        <f>1+(2.7182818^(-G111/2/'Enter data'!C$31))^1.6</f>
        <v>1.7829598768623296</v>
      </c>
      <c r="N111" s="8">
        <f>1+(2.7182818^(-H111/2/'Enter data'!D$31))^1.6</f>
        <v>1.5580973479287081</v>
      </c>
      <c r="O111" s="8">
        <f t="shared" si="21"/>
        <v>0.2816723540624931</v>
      </c>
      <c r="P111" s="8">
        <f t="shared" si="22"/>
        <v>0.7076573445462861</v>
      </c>
      <c r="Q111" s="58">
        <f>8.686*O111/2/'Enter data'!C$45</f>
        <v>0.01629084150625587</v>
      </c>
      <c r="R111" s="58">
        <f>8.686*P111/2/'Enter data'!C$45</f>
        <v>0.040928168755190376</v>
      </c>
      <c r="S111" s="58">
        <f t="shared" si="23"/>
        <v>0.004965508871694669</v>
      </c>
      <c r="T111" s="58">
        <f t="shared" si="24"/>
        <v>0.01247505753328163</v>
      </c>
      <c r="U111" s="36">
        <f t="shared" si="33"/>
        <v>0.9893296986087792</v>
      </c>
      <c r="V111" s="36">
        <f>U111/(2*'Enter data'!$C$45)</f>
        <v>0.006587498303182851</v>
      </c>
      <c r="W111" s="36">
        <f>V111*8.68588</f>
        <v>0.057218219761649855</v>
      </c>
      <c r="Y111" s="8"/>
      <c r="Z111" s="8">
        <f>4*PI()^2*D111*'Enter data'!$C$82*'Enter data'!$E$14*'Enter data'!$E$15/LN('Enter data'!$C$44)</f>
        <v>6.191695496886891E-07</v>
      </c>
      <c r="AA111" s="58">
        <f>27.28753*'Enter data'!$E$14^0.5*'Enter data'!$E$15*D111/'Enter data'!$C$83</f>
        <v>0.00020178270056582528</v>
      </c>
      <c r="AB111" s="58">
        <f t="shared" si="32"/>
        <v>6.150411502250221E-05</v>
      </c>
      <c r="AC111" s="8"/>
      <c r="AD111" s="36">
        <f>2*PI()/'Enter data'!$E$10/LN($C$3/$C$2)</f>
        <v>4.19829126836701E-16</v>
      </c>
      <c r="AE111" s="52">
        <f>8.686*AD111*'Enter data'!$C$45/2</f>
        <v>1.3691559855720513E-13</v>
      </c>
      <c r="AF111" s="58">
        <f t="shared" si="26"/>
        <v>4.17323819060001E-14</v>
      </c>
      <c r="AH111" s="8">
        <f t="shared" si="34"/>
        <v>0.05742079296214899</v>
      </c>
      <c r="AI111" s="58">
        <f t="shared" si="27"/>
        <v>0.017502070520040536</v>
      </c>
    </row>
    <row r="112" spans="4:35" ht="12.75">
      <c r="D112" s="8">
        <f>D111*'Enter data'!$C$74</f>
        <v>14624948.202492543</v>
      </c>
      <c r="E112" s="36">
        <f t="shared" si="20"/>
        <v>0.014624948202492542</v>
      </c>
      <c r="G112" s="8">
        <f t="shared" si="28"/>
        <v>2.1423770152245364E-05</v>
      </c>
      <c r="H112" s="8">
        <f t="shared" si="29"/>
        <v>1.702240557649284E-05</v>
      </c>
      <c r="I112" s="8">
        <f t="shared" si="30"/>
        <v>2.809622662285818E-07</v>
      </c>
      <c r="J112" s="8">
        <f t="shared" si="31"/>
        <v>5.2919971839210255E-08</v>
      </c>
      <c r="K112" s="8">
        <f>'Enter data'!$C$83/D112</f>
        <v>20.49870220729439</v>
      </c>
      <c r="L112" s="8"/>
      <c r="M112" s="8">
        <f>1+(2.7182818^(-G112/2/'Enter data'!C$31))^1.6</f>
        <v>1.7985789294511059</v>
      </c>
      <c r="N112" s="8">
        <f>1+(2.7182818^(-H112/2/'Enter data'!D$31))^1.6</f>
        <v>1.5850027372498636</v>
      </c>
      <c r="O112" s="8">
        <f t="shared" si="21"/>
        <v>0.30511030728622013</v>
      </c>
      <c r="P112" s="8">
        <f t="shared" si="22"/>
        <v>0.7942118628749363</v>
      </c>
      <c r="Q112" s="58">
        <f>8.686*O112/2/'Enter data'!C$45</f>
        <v>0.017646402233788484</v>
      </c>
      <c r="R112" s="58">
        <f>8.686*P112/2/'Enter data'!C$45</f>
        <v>0.045934147934210266</v>
      </c>
      <c r="S112" s="58">
        <f t="shared" si="23"/>
        <v>0.005378688805714607</v>
      </c>
      <c r="T112" s="58">
        <f t="shared" si="24"/>
        <v>0.01400089854127355</v>
      </c>
      <c r="U112" s="36">
        <f t="shared" si="33"/>
        <v>1.0993221701611564</v>
      </c>
      <c r="V112" s="36">
        <f>U112/(2*'Enter data'!$C$45)</f>
        <v>0.007319888345383231</v>
      </c>
      <c r="W112" s="36">
        <f>V112*8.68588</f>
        <v>0.06357967178139728</v>
      </c>
      <c r="Y112" s="8"/>
      <c r="Z112" s="8">
        <f>4*PI()^2*D112*'Enter data'!$C$82*'Enter data'!$E$14*'Enter data'!$E$15/LN('Enter data'!$C$44)</f>
        <v>7.326942738028055E-07</v>
      </c>
      <c r="AA112" s="58">
        <f>27.28753*'Enter data'!$E$14^0.5*'Enter data'!$E$15*D112/'Enter data'!$C$83</f>
        <v>0.00023877955453620246</v>
      </c>
      <c r="AB112" s="58">
        <f t="shared" si="32"/>
        <v>7.278089323829628E-05</v>
      </c>
      <c r="AC112" s="8"/>
      <c r="AD112" s="36">
        <f>2*PI()/'Enter data'!$E$10/LN($C$3/$C$2)</f>
        <v>4.19829126836701E-16</v>
      </c>
      <c r="AE112" s="52">
        <f>8.686*AD112*'Enter data'!$C$45/2</f>
        <v>1.3691559855720513E-13</v>
      </c>
      <c r="AF112" s="58">
        <f t="shared" si="26"/>
        <v>4.17323819060001E-14</v>
      </c>
      <c r="AH112" s="8">
        <f t="shared" si="34"/>
        <v>0.06381932972267187</v>
      </c>
      <c r="AI112" s="58">
        <f t="shared" si="27"/>
        <v>0.01945236824026819</v>
      </c>
    </row>
    <row r="113" spans="4:35" ht="12.75">
      <c r="D113" s="8">
        <f>D112*'Enter data'!$C$74</f>
        <v>17306432.152576946</v>
      </c>
      <c r="E113" s="36">
        <f t="shared" si="20"/>
        <v>0.017306432152576944</v>
      </c>
      <c r="G113" s="8">
        <f t="shared" si="28"/>
        <v>1.969424319648906E-05</v>
      </c>
      <c r="H113" s="8">
        <f t="shared" si="29"/>
        <v>1.5648197904960516E-05</v>
      </c>
      <c r="I113" s="8">
        <f t="shared" si="30"/>
        <v>2.632044436843215E-07</v>
      </c>
      <c r="J113" s="8">
        <f t="shared" si="31"/>
        <v>4.8782889938781937E-08</v>
      </c>
      <c r="K113" s="8">
        <f>'Enter data'!$C$83/D113</f>
        <v>17.322603258543996</v>
      </c>
      <c r="L113" s="8"/>
      <c r="M113" s="8">
        <f>1+(2.7182818^(-G113/2/'Enter data'!C$31))^1.6</f>
        <v>1.8132117844048814</v>
      </c>
      <c r="N113" s="8">
        <f>1+(2.7182818^(-H113/2/'Enter data'!D$31))^1.6</f>
        <v>1.6108788495166224</v>
      </c>
      <c r="O113" s="8">
        <f t="shared" si="21"/>
        <v>0.33101656119746314</v>
      </c>
      <c r="P113" s="8">
        <f t="shared" si="22"/>
        <v>0.8899265731716208</v>
      </c>
      <c r="Q113" s="58">
        <f>8.686*O113/2/'Enter data'!C$45</f>
        <v>0.019144719943716262</v>
      </c>
      <c r="R113" s="58">
        <f>8.686*P113/2/'Enter data'!C$45</f>
        <v>0.05146991725189963</v>
      </c>
      <c r="S113" s="58">
        <f t="shared" si="23"/>
        <v>0.005835381597084937</v>
      </c>
      <c r="T113" s="58">
        <f t="shared" si="24"/>
        <v>0.01568822154715302</v>
      </c>
      <c r="U113" s="36">
        <f t="shared" si="33"/>
        <v>1.220943134369084</v>
      </c>
      <c r="V113" s="36">
        <f>U113/(2*'Enter data'!$C$45)</f>
        <v>0.008129707252546154</v>
      </c>
      <c r="W113" s="36">
        <f>V113*8.68588</f>
        <v>0.07061366163074558</v>
      </c>
      <c r="Y113" s="8"/>
      <c r="Z113" s="8">
        <f>4*PI()^2*D113*'Enter data'!$C$82*'Enter data'!$E$14*'Enter data'!$E$15/LN('Enter data'!$C$44)</f>
        <v>8.67033753732459E-07</v>
      </c>
      <c r="AA113" s="58">
        <f>27.28753*'Enter data'!$E$14^0.5*'Enter data'!$E$15*D113/'Enter data'!$C$83</f>
        <v>0.0002825597809159449</v>
      </c>
      <c r="AB113" s="58">
        <f t="shared" si="32"/>
        <v>8.612526850644504E-05</v>
      </c>
      <c r="AC113" s="8"/>
      <c r="AD113" s="36">
        <f>2*PI()/'Enter data'!$E$10/LN($C$3/$C$2)</f>
        <v>4.19829126836701E-16</v>
      </c>
      <c r="AE113" s="52">
        <f>8.686*AD113*'Enter data'!$C$45/2</f>
        <v>1.3691559855720513E-13</v>
      </c>
      <c r="AF113" s="58">
        <f t="shared" si="26"/>
        <v>4.17323819060001E-14</v>
      </c>
      <c r="AH113" s="8">
        <f t="shared" si="34"/>
        <v>0.07089719697666876</v>
      </c>
      <c r="AI113" s="58">
        <f t="shared" si="27"/>
        <v>0.021609728412786137</v>
      </c>
    </row>
    <row r="114" spans="4:35" ht="12.75">
      <c r="D114" s="8">
        <f>D113*'Enter data'!$C$74</f>
        <v>20479566.12938314</v>
      </c>
      <c r="E114" s="36">
        <f t="shared" si="20"/>
        <v>0.02047956612938314</v>
      </c>
      <c r="G114" s="8">
        <f t="shared" si="28"/>
        <v>1.810433982096306E-05</v>
      </c>
      <c r="H114" s="8">
        <f t="shared" si="29"/>
        <v>1.4384929120180258E-05</v>
      </c>
      <c r="I114" s="8">
        <f t="shared" si="30"/>
        <v>2.459057185661451E-07</v>
      </c>
      <c r="J114" s="8">
        <f t="shared" si="31"/>
        <v>4.495885737633256E-08</v>
      </c>
      <c r="K114" s="8">
        <f>'Enter data'!$C$83/D114</f>
        <v>14.638613733611844</v>
      </c>
      <c r="L114" s="8"/>
      <c r="M114" s="8">
        <f>1+(2.7182818^(-G114/2/'Enter data'!C$31))^1.6</f>
        <v>1.8268997544934291</v>
      </c>
      <c r="N114" s="8">
        <f>1+(2.7182818^(-H114/2/'Enter data'!D$31))^1.6</f>
        <v>1.6356745064471638</v>
      </c>
      <c r="O114" s="8">
        <f t="shared" si="21"/>
        <v>0.35967204182714224</v>
      </c>
      <c r="P114" s="8">
        <f t="shared" si="22"/>
        <v>0.9955760614299234</v>
      </c>
      <c r="Q114" s="58">
        <f>8.686*O114/2/'Enter data'!C$45</f>
        <v>0.02080204231309624</v>
      </c>
      <c r="R114" s="58">
        <f>8.686*P114/2/'Enter data'!C$45</f>
        <v>0.05758027577168248</v>
      </c>
      <c r="S114" s="58">
        <f t="shared" si="23"/>
        <v>0.006340539597993245</v>
      </c>
      <c r="T114" s="58">
        <f t="shared" si="24"/>
        <v>0.017550681471495515</v>
      </c>
      <c r="U114" s="36">
        <f t="shared" si="33"/>
        <v>1.3552481032570656</v>
      </c>
      <c r="V114" s="36">
        <f>U114/(2*'Enter data'!$C$45)</f>
        <v>0.009023983201102778</v>
      </c>
      <c r="W114" s="36">
        <f>V114*8.68588</f>
        <v>0.07838123520679459</v>
      </c>
      <c r="Y114" s="8"/>
      <c r="Z114" s="8">
        <f>4*PI()^2*D114*'Enter data'!$C$82*'Enter data'!$E$14*'Enter data'!$E$15/LN('Enter data'!$C$44)</f>
        <v>1.026004374525412E-06</v>
      </c>
      <c r="AA114" s="58">
        <f>27.28753*'Enter data'!$E$14^0.5*'Enter data'!$E$15*D114/'Enter data'!$C$83</f>
        <v>0.00033436711089584456</v>
      </c>
      <c r="AB114" s="58">
        <f t="shared" si="32"/>
        <v>0.00010191633470368341</v>
      </c>
      <c r="AC114" s="8"/>
      <c r="AD114" s="36">
        <f>2*PI()/'Enter data'!$E$10/LN($C$3/$C$2)</f>
        <v>4.19829126836701E-16</v>
      </c>
      <c r="AE114" s="52">
        <f>8.686*AD114*'Enter data'!$C$45/2</f>
        <v>1.3691559855720513E-13</v>
      </c>
      <c r="AF114" s="58">
        <f t="shared" si="26"/>
        <v>4.17323819060001E-14</v>
      </c>
      <c r="AH114" s="8">
        <f t="shared" si="34"/>
        <v>0.07871668519581149</v>
      </c>
      <c r="AI114" s="58">
        <f t="shared" si="27"/>
        <v>0.023993137404234175</v>
      </c>
    </row>
    <row r="115" spans="4:35" ht="12.75">
      <c r="D115" s="8">
        <f>D114*'Enter data'!$C$74</f>
        <v>24234494.15512984</v>
      </c>
      <c r="E115" s="36">
        <f t="shared" si="20"/>
        <v>0.02423449415512984</v>
      </c>
      <c r="G115" s="8">
        <f t="shared" si="28"/>
        <v>1.664278830533283E-05</v>
      </c>
      <c r="H115" s="8">
        <f t="shared" si="29"/>
        <v>1.32236431983656E-05</v>
      </c>
      <c r="I115" s="8">
        <f aca="true" t="shared" si="35" ref="I115:I156">2*PI()*G115*(C$3+G115-(C$4+G115)*EXP((C$3-C$4)/G115))</f>
        <v>2.2915936720807815E-07</v>
      </c>
      <c r="J115" s="8">
        <f aca="true" t="shared" si="36" ref="J115:J156">2*PI()*H115*(C$2+H115*(EXP(-C$2/H115)-1))</f>
        <v>4.142584551779189E-08</v>
      </c>
      <c r="K115" s="8">
        <f>'Enter data'!$C$83/D115</f>
        <v>12.37048547747556</v>
      </c>
      <c r="L115" s="8"/>
      <c r="M115" s="8">
        <f>1+(2.7182818^(-G115/2/'Enter data'!C$31))^1.6</f>
        <v>1.8396858590214613</v>
      </c>
      <c r="N115" s="8">
        <f>1+(2.7182818^(-H115/2/'Enter data'!D$31))^1.6</f>
        <v>1.6593553294999688</v>
      </c>
      <c r="O115" s="8">
        <f t="shared" si="21"/>
        <v>0.39137727023602986</v>
      </c>
      <c r="P115" s="8">
        <f t="shared" si="22"/>
        <v>1.1119963167153426</v>
      </c>
      <c r="Q115" s="58">
        <f>8.686*O115/2/'Enter data'!C$45</f>
        <v>0.022635750319861557</v>
      </c>
      <c r="R115" s="58">
        <f>8.686*P115/2/'Enter data'!C$45</f>
        <v>0.06431357387360351</v>
      </c>
      <c r="S115" s="58">
        <f t="shared" si="23"/>
        <v>0.006899460594934637</v>
      </c>
      <c r="T115" s="58">
        <f t="shared" si="24"/>
        <v>0.01960301568934513</v>
      </c>
      <c r="U115" s="36">
        <f aca="true" t="shared" si="37" ref="U115:U156">O115+P115</f>
        <v>1.5033735869513725</v>
      </c>
      <c r="V115" s="36">
        <f>U115/(2*'Enter data'!$C$45)</f>
        <v>0.010010283697152322</v>
      </c>
      <c r="W115" s="36">
        <f aca="true" t="shared" si="38" ref="W115:W161">V115*8.68588</f>
        <v>0.0869481229594214</v>
      </c>
      <c r="Y115" s="8"/>
      <c r="Z115" s="8">
        <f>4*PI()^2*D115*'Enter data'!$C$82*'Enter data'!$E$14*'Enter data'!$E$15/LN('Enter data'!$C$44)</f>
        <v>1.2141222553489072E-06</v>
      </c>
      <c r="AA115" s="58">
        <f>27.28753*'Enter data'!$E$14^0.5*'Enter data'!$E$15*D115/'Enter data'!$C$83</f>
        <v>0.000395673313754771</v>
      </c>
      <c r="AB115" s="58">
        <f t="shared" si="32"/>
        <v>0.00012060269256119574</v>
      </c>
      <c r="AD115" s="36">
        <f>2*PI()/'Enter data'!$E$10/LN($C$3/$C$2)</f>
        <v>4.19829126836701E-16</v>
      </c>
      <c r="AE115" s="52">
        <f>8.686*AD115*'Enter data'!$C$45/2</f>
        <v>1.3691559855720513E-13</v>
      </c>
      <c r="AF115" s="58">
        <f t="shared" si="26"/>
        <v>4.17323819060001E-14</v>
      </c>
      <c r="AH115" s="8">
        <f t="shared" si="34"/>
        <v>0.08734499750735676</v>
      </c>
      <c r="AI115" s="58">
        <f t="shared" si="27"/>
        <v>0.026623078976882698</v>
      </c>
    </row>
    <row r="116" spans="4:35" ht="12.75">
      <c r="D116" s="8">
        <f>D115*'Enter data'!$C$74</f>
        <v>28677888.15664292</v>
      </c>
      <c r="E116" s="36">
        <f t="shared" si="20"/>
        <v>0.028677888156642923</v>
      </c>
      <c r="G116" s="8">
        <f t="shared" si="28"/>
        <v>1.5299226887876055E-05</v>
      </c>
      <c r="H116" s="8">
        <f t="shared" si="29"/>
        <v>1.2156107129674169E-05</v>
      </c>
      <c r="I116" s="8">
        <f t="shared" si="35"/>
        <v>2.1304827953162977E-07</v>
      </c>
      <c r="J116" s="8">
        <f t="shared" si="36"/>
        <v>3.8163101512866047E-08</v>
      </c>
      <c r="K116" s="8">
        <f>'Enter data'!$C$83/D116</f>
        <v>10.453784335948612</v>
      </c>
      <c r="L116" s="8"/>
      <c r="M116" s="8">
        <f>1+(2.7182818^(-G116/2/'Enter data'!C$31))^1.6</f>
        <v>1.8516140881756264</v>
      </c>
      <c r="N116" s="8">
        <f>1+(2.7182818^(-H116/2/'Enter data'!D$31))^1.6</f>
        <v>1.6819018735696922</v>
      </c>
      <c r="O116" s="8">
        <f t="shared" si="21"/>
        <v>0.42645066454089137</v>
      </c>
      <c r="P116" s="8">
        <f t="shared" si="22"/>
        <v>1.2400910900051554</v>
      </c>
      <c r="Q116" s="58">
        <f>8.686*O116/2/'Enter data'!C$45</f>
        <v>0.024664260038568808</v>
      </c>
      <c r="R116" s="58">
        <f>8.686*P116/2/'Enter data'!C$45</f>
        <v>0.07172208102507617</v>
      </c>
      <c r="S116" s="58">
        <f t="shared" si="23"/>
        <v>0.007517757875691541</v>
      </c>
      <c r="T116" s="58">
        <f t="shared" si="24"/>
        <v>0.021861156128101734</v>
      </c>
      <c r="U116" s="36">
        <f t="shared" si="37"/>
        <v>1.6665417545460468</v>
      </c>
      <c r="V116" s="36">
        <f>U116/(2*'Enter data'!$C$45)</f>
        <v>0.011096746611057445</v>
      </c>
      <c r="W116" s="36">
        <f t="shared" si="38"/>
        <v>0.09638500945405164</v>
      </c>
      <c r="Y116" s="8"/>
      <c r="Z116" s="8">
        <f>4*PI()^2*D116*'Enter data'!$C$82*'Enter data'!$E$14*'Enter data'!$E$15/LN('Enter data'!$C$44)</f>
        <v>1.4367315457259838E-06</v>
      </c>
      <c r="AA116" s="58">
        <f>27.28753*'Enter data'!$E$14^0.5*'Enter data'!$E$15*D116/'Enter data'!$C$83</f>
        <v>0.00046822000763839804</v>
      </c>
      <c r="AB116" s="58">
        <f t="shared" si="32"/>
        <v>0.00014271519374493965</v>
      </c>
      <c r="AD116" s="36">
        <f>2*PI()/'Enter data'!$E$10/LN($C$3/$C$2)</f>
        <v>4.19829126836701E-16</v>
      </c>
      <c r="AE116" s="52">
        <f>8.686*AD116*'Enter data'!$C$45/2</f>
        <v>1.3691559855720513E-13</v>
      </c>
      <c r="AF116" s="58">
        <f t="shared" si="26"/>
        <v>4.17323819060001E-14</v>
      </c>
      <c r="AH116" s="8">
        <f t="shared" si="34"/>
        <v>0.09685456107142029</v>
      </c>
      <c r="AI116" s="58">
        <f t="shared" si="27"/>
        <v>0.029521629197579946</v>
      </c>
    </row>
    <row r="117" spans="4:35" ht="12.75">
      <c r="D117" s="8">
        <f>D116*'Enter data'!$C$74</f>
        <v>33935978.356322914</v>
      </c>
      <c r="E117" s="36">
        <f t="shared" si="20"/>
        <v>0.033935978356322914</v>
      </c>
      <c r="G117" s="8">
        <f t="shared" si="28"/>
        <v>1.4064130305118884E-05</v>
      </c>
      <c r="H117" s="8">
        <f t="shared" si="29"/>
        <v>1.1174752549764743E-05</v>
      </c>
      <c r="I117" s="8">
        <f t="shared" si="35"/>
        <v>1.9764262161745819E-07</v>
      </c>
      <c r="J117" s="8">
        <f t="shared" si="36"/>
        <v>3.5151123171313596E-08</v>
      </c>
      <c r="K117" s="8">
        <f>'Enter data'!$C$83/D117</f>
        <v>8.834059677084365</v>
      </c>
      <c r="L117" s="8"/>
      <c r="M117" s="8">
        <f>1+(2.7182818^(-G117/2/'Enter data'!C$31))^1.6</f>
        <v>1.8627287828313803</v>
      </c>
      <c r="N117" s="8">
        <f>1+(2.7182818^(-H117/2/'Enter data'!D$31))^1.6</f>
        <v>1.7033077568258292</v>
      </c>
      <c r="O117" s="8">
        <f t="shared" si="21"/>
        <v>0.46522657908911585</v>
      </c>
      <c r="P117" s="8">
        <f t="shared" si="22"/>
        <v>1.3808388037676684</v>
      </c>
      <c r="Q117" s="58">
        <f>8.686*O117/2/'Enter data'!C$45</f>
        <v>0.026906909233828828</v>
      </c>
      <c r="R117" s="58">
        <f>8.686*P117/2/'Enter data'!C$45</f>
        <v>0.07986238540427078</v>
      </c>
      <c r="S117" s="58">
        <f t="shared" si="23"/>
        <v>0.008201325662591083</v>
      </c>
      <c r="T117" s="58">
        <f t="shared" si="24"/>
        <v>0.024342351074210795</v>
      </c>
      <c r="U117" s="36">
        <f t="shared" si="37"/>
        <v>1.8460653828567843</v>
      </c>
      <c r="V117" s="36">
        <f>U117/(2*'Enter data'!$C$45)</f>
        <v>0.012292113128954596</v>
      </c>
      <c r="W117" s="36">
        <f t="shared" si="38"/>
        <v>0.10676781958452414</v>
      </c>
      <c r="Y117" s="8"/>
      <c r="Z117" s="8">
        <f>4*PI()^2*D117*'Enter data'!$C$82*'Enter data'!$E$14*'Enter data'!$E$15/LN('Enter data'!$C$44)</f>
        <v>1.7001562448840692E-06</v>
      </c>
      <c r="AA117" s="58">
        <f>27.28753*'Enter data'!$E$14^0.5*'Enter data'!$E$15*D117/'Enter data'!$C$83</f>
        <v>0.0005540681363433448</v>
      </c>
      <c r="AB117" s="58">
        <f t="shared" si="32"/>
        <v>0.00016888202156283369</v>
      </c>
      <c r="AD117" s="36">
        <f>2*PI()/'Enter data'!$E$10/LN($C$3/$C$2)</f>
        <v>4.19829126836701E-16</v>
      </c>
      <c r="AE117" s="52">
        <f>8.686*AD117*'Enter data'!$C$45/2</f>
        <v>1.3691559855720513E-13</v>
      </c>
      <c r="AF117" s="58">
        <f t="shared" si="26"/>
        <v>4.17323819060001E-14</v>
      </c>
      <c r="AH117" s="8">
        <f t="shared" si="34"/>
        <v>0.10732336277457986</v>
      </c>
      <c r="AI117" s="58">
        <f t="shared" si="27"/>
        <v>0.032712558758406445</v>
      </c>
    </row>
    <row r="118" spans="4:35" ht="12.75">
      <c r="D118" s="8">
        <f>D117*'Enter data'!$C$74</f>
        <v>40158139.285233594</v>
      </c>
      <c r="E118" s="36">
        <f t="shared" si="20"/>
        <v>0.040158139285233596</v>
      </c>
      <c r="G118" s="8">
        <f t="shared" si="28"/>
        <v>1.2928742261879311E-05</v>
      </c>
      <c r="H118" s="8">
        <f t="shared" si="29"/>
        <v>1.0272622083400538E-05</v>
      </c>
      <c r="I118" s="8">
        <f t="shared" si="35"/>
        <v>1.8299803317975675E-07</v>
      </c>
      <c r="J118" s="8">
        <f t="shared" si="36"/>
        <v>3.237162380223441E-08</v>
      </c>
      <c r="K118" s="8">
        <f>'Enter data'!$C$83/D118</f>
        <v>7.465297529615263</v>
      </c>
      <c r="L118" s="8"/>
      <c r="M118" s="8">
        <f>1+(2.7182818^(-G118/2/'Enter data'!C$31))^1.6</f>
        <v>1.8730741188097126</v>
      </c>
      <c r="N118" s="8">
        <f>1+(2.7182818^(-H118/2/'Enter data'!D$31))^1.6</f>
        <v>1.72357784125811</v>
      </c>
      <c r="O118" s="8">
        <f t="shared" si="21"/>
        <v>0.5080534185543715</v>
      </c>
      <c r="P118" s="8">
        <f t="shared" si="22"/>
        <v>1.5353000368873813</v>
      </c>
      <c r="Q118" s="58">
        <f>8.686*O118/2/'Enter data'!C$45</f>
        <v>0.029383848286880346</v>
      </c>
      <c r="R118" s="58">
        <f>8.686*P118/2/'Enter data'!C$45</f>
        <v>0.08879582679928892</v>
      </c>
      <c r="S118" s="58">
        <f t="shared" si="23"/>
        <v>0.008956305866520466</v>
      </c>
      <c r="T118" s="58">
        <f t="shared" si="24"/>
        <v>0.02706529712243627</v>
      </c>
      <c r="U118" s="36">
        <f t="shared" si="37"/>
        <v>2.0433534554417525</v>
      </c>
      <c r="V118" s="36">
        <f>U118/(2*'Enter data'!$C$45)</f>
        <v>0.013605765034097312</v>
      </c>
      <c r="W118" s="36">
        <f t="shared" si="38"/>
        <v>0.11817804239436515</v>
      </c>
      <c r="Y118" s="8"/>
      <c r="Z118" s="8">
        <f>4*PI()^2*D118*'Enter data'!$C$82*'Enter data'!$E$14*'Enter data'!$E$15/LN('Enter data'!$C$44)</f>
        <v>2.0118798571779864E-06</v>
      </c>
      <c r="AA118" s="58">
        <f>27.28753*'Enter data'!$E$14^0.5*'Enter data'!$E$15*D118/'Enter data'!$C$83</f>
        <v>0.0006556565176686641</v>
      </c>
      <c r="AB118" s="58">
        <f t="shared" si="32"/>
        <v>0.00019984653671929533</v>
      </c>
      <c r="AD118" s="36">
        <f>2*PI()/'Enter data'!$E$10/LN($C$3/$C$2)</f>
        <v>4.19829126836701E-16</v>
      </c>
      <c r="AE118" s="52">
        <f>8.686*AD118*'Enter data'!$C$45/2</f>
        <v>1.3691559855720513E-13</v>
      </c>
      <c r="AF118" s="58">
        <f t="shared" si="26"/>
        <v>4.17323819060001E-14</v>
      </c>
      <c r="AH118" s="8">
        <f t="shared" si="34"/>
        <v>0.11883533160397484</v>
      </c>
      <c r="AI118" s="58">
        <f t="shared" si="27"/>
        <v>0.036221449525717764</v>
      </c>
    </row>
    <row r="119" spans="4:35" ht="12.75">
      <c r="D119" s="8">
        <f>D118*'Enter data'!$C$74</f>
        <v>47521133.29161614</v>
      </c>
      <c r="E119" s="36">
        <f t="shared" si="20"/>
        <v>0.04752113329161614</v>
      </c>
      <c r="G119" s="8">
        <f t="shared" si="28"/>
        <v>1.1885013352959772E-05</v>
      </c>
      <c r="H119" s="8">
        <f t="shared" si="29"/>
        <v>9.443320019698335E-06</v>
      </c>
      <c r="I119" s="8">
        <f t="shared" si="35"/>
        <v>1.691545036242107E-07</v>
      </c>
      <c r="J119" s="8">
        <f t="shared" si="36"/>
        <v>2.9807489696051724E-08</v>
      </c>
      <c r="K119" s="8">
        <f>'Enter data'!$C$83/D119</f>
        <v>6.308613394388272</v>
      </c>
      <c r="L119" s="8"/>
      <c r="M119" s="8">
        <f>1+(2.7182818^(-G119/2/'Enter data'!C$31))^1.6</f>
        <v>1.8826936844688138</v>
      </c>
      <c r="N119" s="8">
        <f>1+(2.7182818^(-H119/2/'Enter data'!D$31))^1.6</f>
        <v>1.742726503889933</v>
      </c>
      <c r="O119" s="8">
        <f t="shared" si="21"/>
        <v>0.5552922859887313</v>
      </c>
      <c r="P119" s="8">
        <f t="shared" si="22"/>
        <v>1.7046256170196818</v>
      </c>
      <c r="Q119" s="58">
        <f>8.686*O119/2/'Enter data'!C$45</f>
        <v>0.03211596200414437</v>
      </c>
      <c r="R119" s="58">
        <f>8.686*P119/2/'Enter data'!C$45</f>
        <v>0.09858896463871683</v>
      </c>
      <c r="S119" s="58">
        <f t="shared" si="23"/>
        <v>0.009789064253884532</v>
      </c>
      <c r="T119" s="58">
        <f t="shared" si="24"/>
        <v>0.030050281833307983</v>
      </c>
      <c r="U119" s="36">
        <f t="shared" si="37"/>
        <v>2.259917903008413</v>
      </c>
      <c r="V119" s="36">
        <f>U119/(2*'Enter data'!$C$45)</f>
        <v>0.01504776958817191</v>
      </c>
      <c r="W119" s="36">
        <f t="shared" si="38"/>
        <v>0.13070312091051062</v>
      </c>
      <c r="Y119" s="8"/>
      <c r="Z119" s="8">
        <f>4*PI()^2*D119*'Enter data'!$C$82*'Enter data'!$E$14*'Enter data'!$E$15/LN('Enter data'!$C$44)</f>
        <v>2.38075798733105E-06</v>
      </c>
      <c r="AA119" s="58">
        <f>27.28753*'Enter data'!$E$14^0.5*'Enter data'!$E$15*D119/'Enter data'!$C$83</f>
        <v>0.0007758711266063638</v>
      </c>
      <c r="AB119" s="58">
        <f t="shared" si="32"/>
        <v>0.00023648839508850394</v>
      </c>
      <c r="AD119" s="36">
        <f>2*PI()/'Enter data'!$E$10/LN($C$3/$C$2)</f>
        <v>4.19829126836701E-16</v>
      </c>
      <c r="AE119" s="52">
        <f>8.686*AD119*'Enter data'!$C$45/2</f>
        <v>1.3691559855720513E-13</v>
      </c>
      <c r="AF119" s="58">
        <f t="shared" si="26"/>
        <v>4.17323819060001E-14</v>
      </c>
      <c r="AH119" s="8">
        <f t="shared" si="34"/>
        <v>0.1314807977696045</v>
      </c>
      <c r="AI119" s="58">
        <f t="shared" si="27"/>
        <v>0.040075834482322756</v>
      </c>
    </row>
    <row r="120" spans="4:35" ht="12.75">
      <c r="D120" s="8">
        <f>D119*'Enter data'!$C$74</f>
        <v>56234132.0966015</v>
      </c>
      <c r="E120" s="36">
        <f t="shared" si="20"/>
        <v>0.056234132096601504</v>
      </c>
      <c r="G120" s="8">
        <f t="shared" si="28"/>
        <v>1.0925543996380944E-05</v>
      </c>
      <c r="H120" s="8">
        <f t="shared" si="29"/>
        <v>8.68096696933247E-06</v>
      </c>
      <c r="I120" s="8">
        <f t="shared" si="35"/>
        <v>1.561360203294484E-07</v>
      </c>
      <c r="J120" s="8">
        <f t="shared" si="36"/>
        <v>2.7442732422891512E-08</v>
      </c>
      <c r="K120" s="8">
        <f>'Enter data'!$C$83/D120</f>
        <v>5.331147593511413</v>
      </c>
      <c r="L120" s="8"/>
      <c r="M120" s="8">
        <f>1+(2.7182818^(-G120/2/'Enter data'!C$31))^1.6</f>
        <v>1.8916301407742273</v>
      </c>
      <c r="N120" s="8">
        <f>1+(2.7182818^(-H120/2/'Enter data'!D$31))^1.6</f>
        <v>1.7607760261354932</v>
      </c>
      <c r="O120" s="8">
        <f t="shared" si="21"/>
        <v>0.6073166936193638</v>
      </c>
      <c r="P120" s="8">
        <f t="shared" si="22"/>
        <v>1.8900653602745983</v>
      </c>
      <c r="Q120" s="58">
        <f>8.686*O120/2/'Enter data'!C$45</f>
        <v>0.03512485289082134</v>
      </c>
      <c r="R120" s="58">
        <f>8.686*P120/2/'Enter data'!C$45</f>
        <v>0.10931408346119233</v>
      </c>
      <c r="S120" s="58">
        <f t="shared" si="23"/>
        <v>0.01070618534833618</v>
      </c>
      <c r="T120" s="58">
        <f t="shared" si="24"/>
        <v>0.03331933780211909</v>
      </c>
      <c r="U120" s="36">
        <f t="shared" si="37"/>
        <v>2.497382053893962</v>
      </c>
      <c r="V120" s="36">
        <f>U120/(2*'Enter data'!$C$45)</f>
        <v>0.016628935799218706</v>
      </c>
      <c r="W120" s="36">
        <f t="shared" si="38"/>
        <v>0.14443694087971776</v>
      </c>
      <c r="Y120" s="8"/>
      <c r="Z120" s="8">
        <f>4*PI()^2*D120*'Enter data'!$C$82*'Enter data'!$E$14*'Enter data'!$E$15/LN('Enter data'!$C$44)</f>
        <v>2.817269915009224E-06</v>
      </c>
      <c r="AA120" s="58">
        <f>27.28753*'Enter data'!$E$14^0.5*'Enter data'!$E$15*D120/'Enter data'!$C$83</f>
        <v>0.0009181270816034754</v>
      </c>
      <c r="AB120" s="58">
        <f t="shared" si="32"/>
        <v>0.00027984853743095447</v>
      </c>
      <c r="AD120" s="36">
        <f>2*PI()/'Enter data'!$E$10/LN($C$3/$C$2)</f>
        <v>4.19829126836701E-16</v>
      </c>
      <c r="AE120" s="52">
        <f>8.686*AD120*'Enter data'!$C$45/2</f>
        <v>1.3691559855720513E-13</v>
      </c>
      <c r="AF120" s="58">
        <f t="shared" si="26"/>
        <v>4.17323819060001E-14</v>
      </c>
      <c r="AH120" s="8">
        <f t="shared" si="34"/>
        <v>0.14535706343375404</v>
      </c>
      <c r="AI120" s="58">
        <f t="shared" si="27"/>
        <v>0.044305371687927954</v>
      </c>
    </row>
    <row r="121" spans="4:35" ht="12.75">
      <c r="D121" s="8">
        <f>D120*'Enter data'!$C$74</f>
        <v>66544659.05205859</v>
      </c>
      <c r="E121" s="36">
        <f t="shared" si="20"/>
        <v>0.06654465905205859</v>
      </c>
      <c r="G121" s="8">
        <f t="shared" si="28"/>
        <v>1.004353197357823E-05</v>
      </c>
      <c r="H121" s="8">
        <f t="shared" si="29"/>
        <v>7.980158182233106E-06</v>
      </c>
      <c r="I121" s="8">
        <f t="shared" si="35"/>
        <v>1.439510162569414E-07</v>
      </c>
      <c r="J121" s="8">
        <f t="shared" si="36"/>
        <v>2.5262437700811868E-08</v>
      </c>
      <c r="K121" s="8">
        <f>'Enter data'!$C$83/D121</f>
        <v>4.505131775721763</v>
      </c>
      <c r="L121" s="8"/>
      <c r="M121" s="8">
        <f>1+(2.7182818^(-G121/2/'Enter data'!C$31))^1.6</f>
        <v>1.8999249535036684</v>
      </c>
      <c r="N121" s="8">
        <f>1+(2.7182818^(-H121/2/'Enter data'!D$31))^1.6</f>
        <v>1.7777551184215485</v>
      </c>
      <c r="O121" s="8">
        <f t="shared" si="21"/>
        <v>0.664513842655516</v>
      </c>
      <c r="P121" s="8">
        <f t="shared" si="22"/>
        <v>2.092977506128359</v>
      </c>
      <c r="Q121" s="58">
        <f>8.686*O121/2/'Enter data'!C$45</f>
        <v>0.03843291516998602</v>
      </c>
      <c r="R121" s="58">
        <f>8.686*P121/2/'Enter data'!C$45</f>
        <v>0.12104973859426404</v>
      </c>
      <c r="S121" s="58">
        <f t="shared" si="23"/>
        <v>0.011714494992070843</v>
      </c>
      <c r="T121" s="58">
        <f t="shared" si="24"/>
        <v>0.036896408983864926</v>
      </c>
      <c r="U121" s="36">
        <f t="shared" si="37"/>
        <v>2.757491348783875</v>
      </c>
      <c r="V121" s="36">
        <f>U121/(2*'Enter data'!$C$45)</f>
        <v>0.018360885766089116</v>
      </c>
      <c r="W121" s="36">
        <f t="shared" si="38"/>
        <v>0.1594804504579581</v>
      </c>
      <c r="Y121" s="8"/>
      <c r="Z121" s="8">
        <f>4*PI()^2*D121*'Enter data'!$C$82*'Enter data'!$E$14*'Enter data'!$E$15/LN('Enter data'!$C$44)</f>
        <v>3.333816295588225E-06</v>
      </c>
      <c r="AA121" s="58">
        <f>27.28753*'Enter data'!$E$14^0.5*'Enter data'!$E$15*D121/'Enter data'!$C$83</f>
        <v>0.0010864656630035765</v>
      </c>
      <c r="AB121" s="58">
        <f t="shared" si="32"/>
        <v>0.00033115876097402356</v>
      </c>
      <c r="AD121" s="36">
        <f>2*PI()/'Enter data'!$E$10/LN($C$3/$C$2)</f>
        <v>4.19829126836701E-16</v>
      </c>
      <c r="AE121" s="52">
        <f>8.686*AD121*'Enter data'!$C$45/2</f>
        <v>1.3691559855720513E-13</v>
      </c>
      <c r="AF121" s="58">
        <f t="shared" si="26"/>
        <v>4.17323819060001E-14</v>
      </c>
      <c r="AH121" s="8">
        <f t="shared" si="34"/>
        <v>0.16056911942739058</v>
      </c>
      <c r="AI121" s="58">
        <f t="shared" si="27"/>
        <v>0.04894206273695153</v>
      </c>
    </row>
    <row r="122" spans="4:35" ht="12.75">
      <c r="D122" s="8">
        <f>D121*'Enter data'!$C$74</f>
        <v>78745620.91129598</v>
      </c>
      <c r="E122" s="36">
        <f t="shared" si="20"/>
        <v>0.07874562091129599</v>
      </c>
      <c r="G122" s="8">
        <f t="shared" si="28"/>
        <v>9.232724204643905E-06</v>
      </c>
      <c r="H122" s="8">
        <f t="shared" si="29"/>
        <v>7.335925230269472E-06</v>
      </c>
      <c r="I122" s="8">
        <f t="shared" si="35"/>
        <v>1.3259356850909562E-07</v>
      </c>
      <c r="J122" s="8">
        <f t="shared" si="36"/>
        <v>2.3252712238936233E-08</v>
      </c>
      <c r="K122" s="8">
        <f>'Enter data'!$C$83/D122</f>
        <v>3.807100058779206</v>
      </c>
      <c r="L122" s="8"/>
      <c r="M122" s="8">
        <f>1+(2.7182818^(-G122/2/'Enter data'!C$31))^1.6</f>
        <v>1.907618187922143</v>
      </c>
      <c r="N122" s="8">
        <f>1+(2.7182818^(-H122/2/'Enter data'!D$31))^1.6</f>
        <v>1.7936975888591171</v>
      </c>
      <c r="O122" s="8">
        <f t="shared" si="21"/>
        <v>0.7272878359255103</v>
      </c>
      <c r="P122" s="8">
        <f t="shared" si="22"/>
        <v>2.314838903555377</v>
      </c>
      <c r="Q122" s="58">
        <f>8.686*O122/2/'Enter data'!C$45</f>
        <v>0.042063520589108415</v>
      </c>
      <c r="R122" s="58">
        <f>8.686*P122/2/'Enter data'!C$45</f>
        <v>0.13388134528093984</v>
      </c>
      <c r="S122" s="58">
        <f t="shared" si="23"/>
        <v>0.012821116980342726</v>
      </c>
      <c r="T122" s="58">
        <f t="shared" si="24"/>
        <v>0.04080753026119844</v>
      </c>
      <c r="U122" s="36">
        <f t="shared" si="37"/>
        <v>3.0421267394808873</v>
      </c>
      <c r="V122" s="36">
        <f>U122/(2*'Enter data'!$C$45)</f>
        <v>0.020256143894778752</v>
      </c>
      <c r="W122" s="36">
        <f t="shared" si="38"/>
        <v>0.17594243513278085</v>
      </c>
      <c r="Y122" s="8"/>
      <c r="Z122" s="8">
        <f>4*PI()^2*D122*'Enter data'!$C$82*'Enter data'!$E$14*'Enter data'!$E$15/LN('Enter data'!$C$44)</f>
        <v>3.945071444350125E-06</v>
      </c>
      <c r="AA122" s="58">
        <f>27.28753*'Enter data'!$E$14^0.5*'Enter data'!$E$15*D122/'Enter data'!$C$83</f>
        <v>0.0012856691198175553</v>
      </c>
      <c r="AB122" s="58">
        <f t="shared" si="32"/>
        <v>0.0003918767129412202</v>
      </c>
      <c r="AD122" s="36">
        <f>2*PI()/'Enter data'!$E$10/LN($C$3/$C$2)</f>
        <v>4.19829126836701E-16</v>
      </c>
      <c r="AE122" s="52">
        <f>8.686*AD122*'Enter data'!$C$45/2</f>
        <v>1.3691559855720513E-13</v>
      </c>
      <c r="AF122" s="58">
        <f t="shared" si="26"/>
        <v>4.17323819060001E-14</v>
      </c>
      <c r="AH122" s="8">
        <f t="shared" si="34"/>
        <v>0.17723053499000274</v>
      </c>
      <c r="AI122" s="58">
        <f t="shared" si="27"/>
        <v>0.05402052395452412</v>
      </c>
    </row>
    <row r="123" spans="4:35" ht="12.75">
      <c r="D123" s="8">
        <f>D122*'Enter data'!$C$74</f>
        <v>93183628.87477605</v>
      </c>
      <c r="E123" s="36">
        <f t="shared" si="20"/>
        <v>0.09318362887477605</v>
      </c>
      <c r="G123" s="8">
        <f t="shared" si="28"/>
        <v>8.487372416722405E-06</v>
      </c>
      <c r="H123" s="8">
        <f t="shared" si="29"/>
        <v>6.743700783265028E-06</v>
      </c>
      <c r="I123" s="8">
        <f t="shared" si="35"/>
        <v>1.2204522554878224E-07</v>
      </c>
      <c r="J123" s="8">
        <f t="shared" si="36"/>
        <v>2.1400629672319046E-08</v>
      </c>
      <c r="K123" s="8">
        <f>'Enter data'!$C$83/D123</f>
        <v>3.2172223986133153</v>
      </c>
      <c r="L123" s="8"/>
      <c r="M123" s="8">
        <f>1+(2.7182818^(-G123/2/'Enter data'!C$31))^1.6</f>
        <v>1.914748357041087</v>
      </c>
      <c r="N123" s="8">
        <f>1+(2.7182818^(-H123/2/'Enter data'!D$31))^1.6</f>
        <v>1.8086411582452264</v>
      </c>
      <c r="O123" s="8">
        <f t="shared" si="21"/>
        <v>0.796064927891358</v>
      </c>
      <c r="P123" s="8">
        <f t="shared" si="22"/>
        <v>2.5572560125300163</v>
      </c>
      <c r="Q123" s="58">
        <f>8.686*O123/2/'Enter data'!C$45</f>
        <v>0.04604132206063027</v>
      </c>
      <c r="R123" s="58">
        <f>8.686*P123/2/'Enter data'!C$45</f>
        <v>0.14790181496407537</v>
      </c>
      <c r="S123" s="58">
        <f t="shared" si="23"/>
        <v>0.01403356561223795</v>
      </c>
      <c r="T123" s="58">
        <f t="shared" si="24"/>
        <v>0.04508102138627023</v>
      </c>
      <c r="U123" s="36">
        <f t="shared" si="37"/>
        <v>3.353320940421374</v>
      </c>
      <c r="V123" s="36">
        <f>U123/(2*'Enter data'!$C$45)</f>
        <v>0.02232824510991315</v>
      </c>
      <c r="W123" s="36">
        <f t="shared" si="38"/>
        <v>0.1939404576352924</v>
      </c>
      <c r="Y123" s="8"/>
      <c r="Z123" s="8">
        <f>4*PI()^2*D123*'Enter data'!$C$82*'Enter data'!$E$14*'Enter data'!$E$15/LN('Enter data'!$C$44)</f>
        <v>4.6684002119801E-06</v>
      </c>
      <c r="AA123" s="58">
        <f>27.28753*'Enter data'!$E$14^0.5*'Enter data'!$E$15*D123/'Enter data'!$C$83</f>
        <v>0.0015213965263134192</v>
      </c>
      <c r="AB123" s="58">
        <f t="shared" si="32"/>
        <v>0.0004637273001442999</v>
      </c>
      <c r="AD123" s="36">
        <f>2*PI()/'Enter data'!$E$10/LN($C$3/$C$2)</f>
        <v>4.19829126836701E-16</v>
      </c>
      <c r="AE123" s="52">
        <f>8.686*AD123*'Enter data'!$C$45/2</f>
        <v>1.3691559855720513E-13</v>
      </c>
      <c r="AF123" s="58">
        <f t="shared" si="26"/>
        <v>4.17323819060001E-14</v>
      </c>
      <c r="AH123" s="8">
        <f t="shared" si="34"/>
        <v>0.19546453355115598</v>
      </c>
      <c r="AI123" s="58">
        <f t="shared" si="27"/>
        <v>0.05957831429869421</v>
      </c>
    </row>
    <row r="124" spans="4:35" ht="12.75">
      <c r="D124" s="8">
        <f>D123*'Enter data'!$C$74</f>
        <v>110268845.2993886</v>
      </c>
      <c r="E124" s="36">
        <f t="shared" si="20"/>
        <v>0.1102688452993886</v>
      </c>
      <c r="G124" s="8">
        <f t="shared" si="28"/>
        <v>7.802192391267108E-06</v>
      </c>
      <c r="H124" s="8">
        <f t="shared" si="29"/>
        <v>6.199286228621883E-06</v>
      </c>
      <c r="I124" s="8">
        <f t="shared" si="35"/>
        <v>1.1227728027220411E-07</v>
      </c>
      <c r="J124" s="8">
        <f t="shared" si="36"/>
        <v>1.9694176467499236E-08</v>
      </c>
      <c r="K124" s="8">
        <f>'Enter data'!$C$83/D124</f>
        <v>2.7187412472311636</v>
      </c>
      <c r="L124" s="8"/>
      <c r="M124" s="8">
        <f>1+(2.7182818^(-G124/2/'Enter data'!C$31))^1.6</f>
        <v>1.921352315399845</v>
      </c>
      <c r="N124" s="8">
        <f>1+(2.7182818^(-H124/2/'Enter data'!D$31))^1.6</f>
        <v>1.822626418772</v>
      </c>
      <c r="O124" s="8">
        <f t="shared" si="21"/>
        <v>0.8713005858351356</v>
      </c>
      <c r="P124" s="8">
        <f t="shared" si="22"/>
        <v>2.8219767932801285</v>
      </c>
      <c r="Q124" s="58">
        <f>8.686*O124/2/'Enter data'!C$45</f>
        <v>0.05039266205372392</v>
      </c>
      <c r="R124" s="58">
        <f>8.686*P124/2/'Enter data'!C$45</f>
        <v>0.16321224291489797</v>
      </c>
      <c r="S124" s="58">
        <f t="shared" si="23"/>
        <v>0.015359870169996317</v>
      </c>
      <c r="T124" s="58">
        <f t="shared" si="24"/>
        <v>0.04974769657245122</v>
      </c>
      <c r="U124" s="36">
        <f t="shared" si="37"/>
        <v>3.693277379115264</v>
      </c>
      <c r="V124" s="36">
        <f>U124/(2*'Enter data'!$C$45)</f>
        <v>0.024591861037142743</v>
      </c>
      <c r="W124" s="36">
        <f t="shared" si="38"/>
        <v>0.21360195394529738</v>
      </c>
      <c r="Y124" s="8"/>
      <c r="Z124" s="8">
        <f>4*PI()^2*D124*'Enter data'!$C$82*'Enter data'!$E$14*'Enter data'!$E$15/LN('Enter data'!$C$44)</f>
        <v>5.524351294176874E-06</v>
      </c>
      <c r="AA124" s="58">
        <f>27.28753*'Enter data'!$E$14^0.5*'Enter data'!$E$15*D124/'Enter data'!$C$83</f>
        <v>0.0018003445479090312</v>
      </c>
      <c r="AB124" s="58">
        <f t="shared" si="32"/>
        <v>0.0005487516910232356</v>
      </c>
      <c r="AD124" s="36">
        <f>2*PI()/'Enter data'!$E$10/LN($C$3/$C$2)</f>
        <v>4.19829126836701E-16</v>
      </c>
      <c r="AE124" s="52">
        <f>8.686*AD124*'Enter data'!$C$45/2</f>
        <v>1.3691559855720513E-13</v>
      </c>
      <c r="AF124" s="58">
        <f t="shared" si="26"/>
        <v>4.17323819060001E-14</v>
      </c>
      <c r="AH124" s="8">
        <f t="shared" si="34"/>
        <v>0.21540524951666784</v>
      </c>
      <c r="AI124" s="58">
        <f t="shared" si="27"/>
        <v>0.06565631843351251</v>
      </c>
    </row>
    <row r="125" spans="4:35" ht="12.75">
      <c r="D125" s="8">
        <f>D124*'Enter data'!$C$74</f>
        <v>130486635.80166586</v>
      </c>
      <c r="E125" s="36">
        <f t="shared" si="20"/>
        <v>0.13048663580166586</v>
      </c>
      <c r="G125" s="8">
        <f t="shared" si="28"/>
        <v>7.172326501239393E-06</v>
      </c>
      <c r="H125" s="8">
        <f t="shared" si="29"/>
        <v>5.698821904991774E-06</v>
      </c>
      <c r="I125" s="8">
        <f t="shared" si="35"/>
        <v>1.0325326960643839E-07</v>
      </c>
      <c r="J125" s="8">
        <f t="shared" si="36"/>
        <v>1.8122198481913816E-08</v>
      </c>
      <c r="K125" s="8">
        <f>'Enter data'!$C$83/D125</f>
        <v>2.2974954956741453</v>
      </c>
      <c r="L125" s="8"/>
      <c r="M125" s="8">
        <f>1+(2.7182818^(-G125/2/'Enter data'!C$31))^1.6</f>
        <v>1.9274651911402876</v>
      </c>
      <c r="N125" s="8">
        <f>1+(2.7182818^(-H125/2/'Enter data'!D$31))^1.6</f>
        <v>1.8356959302791003</v>
      </c>
      <c r="O125" s="8">
        <f t="shared" si="21"/>
        <v>0.9534878173473735</v>
      </c>
      <c r="P125" s="8">
        <f t="shared" si="22"/>
        <v>3.1109035640305995</v>
      </c>
      <c r="Q125" s="58">
        <f>8.686*O125/2/'Enter data'!C$45</f>
        <v>0.0551460542240708</v>
      </c>
      <c r="R125" s="58">
        <f>8.686*P125/2/'Enter data'!C$45</f>
        <v>0.17992265187525322</v>
      </c>
      <c r="S125" s="58">
        <f t="shared" si="23"/>
        <v>0.016808721721552913</v>
      </c>
      <c r="T125" s="58">
        <f t="shared" si="24"/>
        <v>0.054841091159245674</v>
      </c>
      <c r="U125" s="36">
        <f t="shared" si="37"/>
        <v>4.064391381377973</v>
      </c>
      <c r="V125" s="36">
        <f>U125/(2*'Enter data'!$C$45)</f>
        <v>0.02706294106600553</v>
      </c>
      <c r="W125" s="36">
        <f t="shared" si="38"/>
        <v>0.2350654585463961</v>
      </c>
      <c r="Y125" s="8"/>
      <c r="Z125" s="8">
        <f>4*PI()^2*D125*'Enter data'!$C$82*'Enter data'!$E$14*'Enter data'!$E$15/LN('Enter data'!$C$44)</f>
        <v>6.537240989570026E-06</v>
      </c>
      <c r="AA125" s="58">
        <f>27.28753*'Enter data'!$E$14^0.5*'Enter data'!$E$15*D125/'Enter data'!$C$83</f>
        <v>0.0021304376834879496</v>
      </c>
      <c r="AB125" s="58">
        <f t="shared" si="32"/>
        <v>0.0006493653022092018</v>
      </c>
      <c r="AD125" s="36">
        <f>2*PI()/'Enter data'!$E$10/LN($C$3/$C$2)</f>
        <v>4.19829126836701E-16</v>
      </c>
      <c r="AE125" s="52">
        <f>8.686*AD125*'Enter data'!$C$45/2</f>
        <v>1.3691559855720513E-13</v>
      </c>
      <c r="AF125" s="58">
        <f t="shared" si="26"/>
        <v>4.17323819060001E-14</v>
      </c>
      <c r="AH125" s="8">
        <f t="shared" si="34"/>
        <v>0.23719914378294887</v>
      </c>
      <c r="AI125" s="58">
        <f t="shared" si="27"/>
        <v>0.07229917818304953</v>
      </c>
    </row>
    <row r="126" spans="4:35" ht="12.75">
      <c r="D126" s="8">
        <f>D125*'Enter data'!$C$74</f>
        <v>154411357.7738806</v>
      </c>
      <c r="E126" s="36">
        <f t="shared" si="20"/>
        <v>0.1544113577738806</v>
      </c>
      <c r="G126" s="8">
        <f t="shared" si="28"/>
        <v>6.5933092726551535E-06</v>
      </c>
      <c r="H126" s="8">
        <f t="shared" si="29"/>
        <v>5.238759738963318E-06</v>
      </c>
      <c r="I126" s="8">
        <f t="shared" si="35"/>
        <v>9.493147553305517E-08</v>
      </c>
      <c r="J126" s="8">
        <f t="shared" si="36"/>
        <v>1.6674348699706663E-08</v>
      </c>
      <c r="K126" s="8">
        <f>'Enter data'!$C$83/D126</f>
        <v>1.9415181779504518</v>
      </c>
      <c r="L126" s="8"/>
      <c r="M126" s="8">
        <f>1+(2.7182818^(-G126/2/'Enter data'!C$31))^1.6</f>
        <v>1.9331203499579734</v>
      </c>
      <c r="N126" s="8">
        <f>1+(2.7182818^(-H126/2/'Enter data'!D$31))^1.6</f>
        <v>1.8478934454705978</v>
      </c>
      <c r="O126" s="8">
        <f t="shared" si="21"/>
        <v>1.0431660106472416</v>
      </c>
      <c r="P126" s="8">
        <f t="shared" si="22"/>
        <v>3.426106916527408</v>
      </c>
      <c r="Q126" s="58">
        <f>8.686*O126/2/'Enter data'!C$45</f>
        <v>0.06033269470385105</v>
      </c>
      <c r="R126" s="58">
        <f>8.686*P126/2/'Enter data'!C$45</f>
        <v>0.19815279687779314</v>
      </c>
      <c r="S126" s="58">
        <f t="shared" si="23"/>
        <v>0.018389628963621996</v>
      </c>
      <c r="T126" s="58">
        <f t="shared" si="24"/>
        <v>0.06039770692446755</v>
      </c>
      <c r="U126" s="36">
        <f t="shared" si="37"/>
        <v>4.46927292717465</v>
      </c>
      <c r="V126" s="36">
        <f>U126/(2*'Enter data'!$C$45)</f>
        <v>0.029758863870785655</v>
      </c>
      <c r="W126" s="36">
        <f t="shared" si="38"/>
        <v>0.2584819205179797</v>
      </c>
      <c r="Y126" s="8"/>
      <c r="Z126" s="8">
        <f>4*PI()^2*D126*'Enter data'!$C$82*'Enter data'!$E$14*'Enter data'!$E$15/LN('Enter data'!$C$44)</f>
        <v>7.73584398963934E-06</v>
      </c>
      <c r="AA126" s="58">
        <f>27.28753*'Enter data'!$E$14^0.5*'Enter data'!$E$15*D126/'Enter data'!$C$83</f>
        <v>0.002521053388639938</v>
      </c>
      <c r="AB126" s="58">
        <f t="shared" si="32"/>
        <v>0.0007684264169226829</v>
      </c>
      <c r="AD126" s="36">
        <f>2*PI()/'Enter data'!$E$10/LN($C$3/$C$2)</f>
        <v>4.19829126836701E-16</v>
      </c>
      <c r="AE126" s="52">
        <f>8.686*AD126*'Enter data'!$C$45/2</f>
        <v>1.3691559855720513E-13</v>
      </c>
      <c r="AF126" s="58">
        <f t="shared" si="26"/>
        <v>4.17323819060001E-14</v>
      </c>
      <c r="AH126" s="8">
        <f t="shared" si="34"/>
        <v>0.26100654497042103</v>
      </c>
      <c r="AI126" s="58">
        <f t="shared" si="27"/>
        <v>0.07955576230505396</v>
      </c>
    </row>
    <row r="127" spans="4:35" ht="12.75">
      <c r="D127" s="8">
        <f>D126*'Enter data'!$C$74</f>
        <v>182722677.02428547</v>
      </c>
      <c r="E127" s="36">
        <f t="shared" si="20"/>
        <v>0.18272267702428546</v>
      </c>
      <c r="G127" s="8">
        <f t="shared" si="28"/>
        <v>6.0610357263251246E-06</v>
      </c>
      <c r="H127" s="8">
        <f t="shared" si="29"/>
        <v>4.815838090771611E-06</v>
      </c>
      <c r="I127" s="8">
        <f t="shared" si="35"/>
        <v>8.726722822482841E-08</v>
      </c>
      <c r="J127" s="8">
        <f t="shared" si="36"/>
        <v>1.53410365351425E-08</v>
      </c>
      <c r="K127" s="8">
        <f>'Enter data'!$C$83/D127</f>
        <v>1.6406965073095712</v>
      </c>
      <c r="L127" s="8"/>
      <c r="M127" s="8">
        <f>1+(2.7182818^(-G127/2/'Enter data'!C$31))^1.6</f>
        <v>1.9383493852869031</v>
      </c>
      <c r="N127" s="8">
        <f>1+(2.7182818^(-H127/2/'Enter data'!D$31))^1.6</f>
        <v>1.8592632540106013</v>
      </c>
      <c r="O127" s="8">
        <f t="shared" si="21"/>
        <v>1.1409295106600919</v>
      </c>
      <c r="P127" s="8">
        <f t="shared" si="22"/>
        <v>3.7698407874705926</v>
      </c>
      <c r="Q127" s="58">
        <f>8.686*O127/2/'Enter data'!C$45</f>
        <v>0.06598695810895909</v>
      </c>
      <c r="R127" s="58">
        <f>8.686*P127/2/'Enter data'!C$45</f>
        <v>0.21803303691947234</v>
      </c>
      <c r="S127" s="58">
        <f t="shared" si="23"/>
        <v>0.020113069406534713</v>
      </c>
      <c r="T127" s="58">
        <f t="shared" si="24"/>
        <v>0.0664572777735529</v>
      </c>
      <c r="U127" s="36">
        <f t="shared" si="37"/>
        <v>4.910770298130684</v>
      </c>
      <c r="V127" s="36">
        <f>U127/(2*'Enter data'!$C$45)</f>
        <v>0.03269859486857373</v>
      </c>
      <c r="W127" s="36">
        <f t="shared" si="38"/>
        <v>0.2840160711970472</v>
      </c>
      <c r="Y127" s="8"/>
      <c r="Z127" s="8">
        <f>4*PI()^2*D127*'Enter data'!$C$82*'Enter data'!$E$14*'Enter data'!$E$15/LN('Enter data'!$C$44)</f>
        <v>9.154210824951581E-06</v>
      </c>
      <c r="AA127" s="58">
        <f>27.28753*'Enter data'!$E$14^0.5*'Enter data'!$E$15*D127/'Enter data'!$C$83</f>
        <v>0.0029832884752429628</v>
      </c>
      <c r="AB127" s="58">
        <f t="shared" si="32"/>
        <v>0.0009093173845534511</v>
      </c>
      <c r="AD127" s="36">
        <f>2*PI()/'Enter data'!$E$10/LN($C$3/$C$2)</f>
        <v>4.19829126836701E-16</v>
      </c>
      <c r="AE127" s="52">
        <f>8.686*AD127*'Enter data'!$C$45/2</f>
        <v>1.3691559855720513E-13</v>
      </c>
      <c r="AF127" s="58">
        <f t="shared" si="26"/>
        <v>4.17323819060001E-14</v>
      </c>
      <c r="AH127" s="8">
        <f t="shared" si="34"/>
        <v>0.2870032835038113</v>
      </c>
      <c r="AI127" s="58">
        <f t="shared" si="27"/>
        <v>0.0874796645646828</v>
      </c>
    </row>
    <row r="128" spans="4:35" ht="12.75">
      <c r="D128" s="8">
        <f>D127*'Enter data'!$C$74</f>
        <v>216224876.07300222</v>
      </c>
      <c r="E128" s="36">
        <f t="shared" si="20"/>
        <v>0.21622487607300223</v>
      </c>
      <c r="G128" s="8">
        <f t="shared" si="28"/>
        <v>5.5717322753458095E-06</v>
      </c>
      <c r="H128" s="8">
        <f t="shared" si="29"/>
        <v>4.427058630697235E-06</v>
      </c>
      <c r="I128" s="8">
        <f t="shared" si="35"/>
        <v>8.021486350753751E-08</v>
      </c>
      <c r="J128" s="8">
        <f t="shared" si="36"/>
        <v>1.4113378987924788E-08</v>
      </c>
      <c r="K128" s="8">
        <f>'Enter data'!$C$83/D128</f>
        <v>1.386484586994438</v>
      </c>
      <c r="L128" s="8"/>
      <c r="M128" s="8">
        <f>1+(2.7182818^(-G128/2/'Enter data'!C$31))^1.6</f>
        <v>1.9431821297973653</v>
      </c>
      <c r="N128" s="8">
        <f>1+(2.7182818^(-H128/2/'Enter data'!D$31))^1.6</f>
        <v>1.8698496346188154</v>
      </c>
      <c r="O128" s="8">
        <f t="shared" si="21"/>
        <v>1.247435332406179</v>
      </c>
      <c r="P128" s="8">
        <f t="shared" si="22"/>
        <v>4.144558793208466</v>
      </c>
      <c r="Q128" s="58">
        <f>8.686*O128/2/'Enter data'!C$45</f>
        <v>0.07214684365162792</v>
      </c>
      <c r="R128" s="58">
        <f>8.686*P128/2/'Enter data'!C$45</f>
        <v>0.23970527969719846</v>
      </c>
      <c r="S128" s="58">
        <f t="shared" si="23"/>
        <v>0.02199062535102046</v>
      </c>
      <c r="T128" s="58">
        <f t="shared" si="24"/>
        <v>0.0730630576984877</v>
      </c>
      <c r="U128" s="36">
        <f t="shared" si="37"/>
        <v>5.391994125614645</v>
      </c>
      <c r="V128" s="36">
        <f>U128/(2*'Enter data'!$C$45)</f>
        <v>0.035902846344557496</v>
      </c>
      <c r="W128" s="36">
        <f t="shared" si="38"/>
        <v>0.31184781500726505</v>
      </c>
      <c r="Y128" s="8"/>
      <c r="Z128" s="8">
        <f>4*PI()^2*D128*'Enter data'!$C$82*'Enter data'!$E$14*'Enter data'!$E$15/LN('Enter data'!$C$44)</f>
        <v>1.083263519014783E-05</v>
      </c>
      <c r="AA128" s="58">
        <f>27.28753*'Enter data'!$E$14^0.5*'Enter data'!$E$15*D128/'Enter data'!$C$83</f>
        <v>0.003530274355403029</v>
      </c>
      <c r="AB128" s="58">
        <f t="shared" si="32"/>
        <v>0.0010760407081818546</v>
      </c>
      <c r="AD128" s="36">
        <f>2*PI()/'Enter data'!$E$10/LN($C$3/$C$2)</f>
        <v>4.19829126836701E-16</v>
      </c>
      <c r="AE128" s="52">
        <f>8.686*AD128*'Enter data'!$C$45/2</f>
        <v>1.3691559855720513E-13</v>
      </c>
      <c r="AF128" s="58">
        <f t="shared" si="26"/>
        <v>4.17323819060001E-14</v>
      </c>
      <c r="AH128" s="8">
        <f t="shared" si="34"/>
        <v>0.3153823977043663</v>
      </c>
      <c r="AI128" s="58">
        <f t="shared" si="27"/>
        <v>0.09612972375773174</v>
      </c>
    </row>
    <row r="129" spans="4:35" ht="12.75">
      <c r="D129" s="8">
        <f>D128*'Enter data'!$C$74</f>
        <v>255869702.62356246</v>
      </c>
      <c r="E129" s="36">
        <f t="shared" si="20"/>
        <v>0.25586970262356246</v>
      </c>
      <c r="G129" s="8">
        <f t="shared" si="28"/>
        <v>5.121929972016952E-06</v>
      </c>
      <c r="H129" s="8">
        <f t="shared" si="29"/>
        <v>4.069665082218467E-06</v>
      </c>
      <c r="I129" s="8">
        <f t="shared" si="35"/>
        <v>7.372925288033631E-08</v>
      </c>
      <c r="J129" s="8">
        <f t="shared" si="36"/>
        <v>1.2983153848107088E-08</v>
      </c>
      <c r="K129" s="8">
        <f>'Enter data'!$C$83/D129</f>
        <v>1.171660634010495</v>
      </c>
      <c r="L129" s="8"/>
      <c r="M129" s="8">
        <f>1+(2.7182818^(-G129/2/'Enter data'!C$31))^1.6</f>
        <v>1.9476466839505502</v>
      </c>
      <c r="N129" s="8">
        <f>1+(2.7182818^(-H129/2/'Enter data'!D$31))^1.6</f>
        <v>1.8796964040392417</v>
      </c>
      <c r="O129" s="8">
        <f t="shared" si="21"/>
        <v>1.3634097406221566</v>
      </c>
      <c r="P129" s="8">
        <f t="shared" si="22"/>
        <v>4.552931944763066</v>
      </c>
      <c r="Q129" s="58">
        <f>8.686*O129/2/'Enter data'!C$45</f>
        <v>0.07885435568033464</v>
      </c>
      <c r="R129" s="58">
        <f>8.686*P129/2/'Enter data'!C$45</f>
        <v>0.26332400617651136</v>
      </c>
      <c r="S129" s="58">
        <f t="shared" si="23"/>
        <v>0.024035099878180515</v>
      </c>
      <c r="T129" s="58">
        <f t="shared" si="24"/>
        <v>0.0802621330701388</v>
      </c>
      <c r="U129" s="36">
        <f t="shared" si="37"/>
        <v>5.916341685385222</v>
      </c>
      <c r="V129" s="36">
        <f>U129/(2*'Enter data'!$C$45)</f>
        <v>0.039394239219070454</v>
      </c>
      <c r="W129" s="36">
        <f t="shared" si="38"/>
        <v>0.34217363454813965</v>
      </c>
      <c r="Y129" s="8"/>
      <c r="Z129" s="8">
        <f>4*PI()^2*D129*'Enter data'!$C$82*'Enter data'!$E$14*'Enter data'!$E$15/LN('Enter data'!$C$44)</f>
        <v>1.2818798627947245E-05</v>
      </c>
      <c r="AA129" s="58">
        <f>27.28753*'Enter data'!$E$14^0.5*'Enter data'!$E$15*D129/'Enter data'!$C$83</f>
        <v>0.0041775500853638665</v>
      </c>
      <c r="AB129" s="58">
        <f t="shared" si="32"/>
        <v>0.0012733327497451434</v>
      </c>
      <c r="AD129" s="36">
        <f>2*PI()/'Enter data'!$E$10/LN($C$3/$C$2)</f>
        <v>4.19829126836701E-16</v>
      </c>
      <c r="AE129" s="52">
        <f>8.686*AD129*'Enter data'!$C$45/2</f>
        <v>1.3691559855720513E-13</v>
      </c>
      <c r="AF129" s="58">
        <f t="shared" si="26"/>
        <v>4.17323819060001E-14</v>
      </c>
      <c r="AH129" s="8">
        <f t="shared" si="34"/>
        <v>0.3463559119423468</v>
      </c>
      <c r="AI129" s="58">
        <f t="shared" si="27"/>
        <v>0.10557056569810618</v>
      </c>
    </row>
    <row r="130" spans="4:35" ht="12.75">
      <c r="D130" s="8">
        <f>D129*'Enter data'!$C$74</f>
        <v>302783407.30123216</v>
      </c>
      <c r="E130" s="36">
        <f t="shared" si="20"/>
        <v>0.30278340730123215</v>
      </c>
      <c r="G130" s="8">
        <f t="shared" si="28"/>
        <v>4.708439914517851E-06</v>
      </c>
      <c r="H130" s="8">
        <f t="shared" si="29"/>
        <v>3.7411236812149027E-06</v>
      </c>
      <c r="I130" s="8">
        <f t="shared" si="35"/>
        <v>6.776689107736425E-08</v>
      </c>
      <c r="J130" s="8">
        <f t="shared" si="36"/>
        <v>1.1942755078533557E-08</v>
      </c>
      <c r="K130" s="8">
        <f>'Enter data'!$C$83/D130</f>
        <v>0.9901218189996239</v>
      </c>
      <c r="L130" s="8"/>
      <c r="M130" s="8">
        <f>1+(2.7182818^(-G130/2/'Enter data'!C$31))^1.6</f>
        <v>1.9517694579563822</v>
      </c>
      <c r="N130" s="8">
        <f>1+(2.7182818^(-H130/2/'Enter data'!D$31))^1.6</f>
        <v>1.8888465519106084</v>
      </c>
      <c r="O130" s="8">
        <f t="shared" si="21"/>
        <v>1.489653794735173</v>
      </c>
      <c r="P130" s="8">
        <f t="shared" si="22"/>
        <v>4.997867870579136</v>
      </c>
      <c r="Q130" s="58">
        <f>8.686*O130/2/'Enter data'!C$45</f>
        <v>0.08615582437969463</v>
      </c>
      <c r="R130" s="58">
        <f>8.686*P130/2/'Enter data'!C$45</f>
        <v>0.2890573823611711</v>
      </c>
      <c r="S130" s="58">
        <f t="shared" si="23"/>
        <v>0.026260614600004457</v>
      </c>
      <c r="T130" s="58">
        <f t="shared" si="24"/>
        <v>0.08810576150974492</v>
      </c>
      <c r="U130" s="36">
        <f t="shared" si="37"/>
        <v>6.4875216653143095</v>
      </c>
      <c r="V130" s="36">
        <f>U130/(2*'Enter data'!$C$45)</f>
        <v>0.043197467964640315</v>
      </c>
      <c r="W130" s="36">
        <f t="shared" si="38"/>
        <v>0.37520802304470996</v>
      </c>
      <c r="Y130" s="8"/>
      <c r="Z130" s="8">
        <f>4*PI()^2*D130*'Enter data'!$C$82*'Enter data'!$E$14*'Enter data'!$E$15/LN('Enter data'!$C$44)</f>
        <v>1.5169125090939172E-05</v>
      </c>
      <c r="AA130" s="58">
        <f>27.28753*'Enter data'!$E$14^0.5*'Enter data'!$E$15*D130/'Enter data'!$C$83</f>
        <v>0.004943503807009714</v>
      </c>
      <c r="AB130" s="58">
        <f t="shared" si="32"/>
        <v>0.0015067982830436826</v>
      </c>
      <c r="AD130" s="36">
        <f>2*PI()/'Enter data'!$E$10/LN($C$3/$C$2)</f>
        <v>4.19829126836701E-16</v>
      </c>
      <c r="AE130" s="52">
        <f>8.686*AD130*'Enter data'!$C$45/2</f>
        <v>1.3691559855720513E-13</v>
      </c>
      <c r="AF130" s="58">
        <f t="shared" si="26"/>
        <v>4.17323819060001E-14</v>
      </c>
      <c r="AH130" s="8">
        <f t="shared" si="34"/>
        <v>0.38015671054801237</v>
      </c>
      <c r="AI130" s="58">
        <f t="shared" si="27"/>
        <v>0.11587317439283477</v>
      </c>
    </row>
    <row r="131" spans="4:35" ht="12.75">
      <c r="D131" s="8">
        <f>D130*'Enter data'!$C$74</f>
        <v>358298738.76009834</v>
      </c>
      <c r="E131" s="36">
        <f t="shared" si="20"/>
        <v>0.3582987387600983</v>
      </c>
      <c r="G131" s="8">
        <f t="shared" si="28"/>
        <v>4.328330638986622E-06</v>
      </c>
      <c r="H131" s="8">
        <f t="shared" si="29"/>
        <v>3.43910521268679E-06</v>
      </c>
      <c r="I131" s="8">
        <f t="shared" si="35"/>
        <v>6.228658107639602E-08</v>
      </c>
      <c r="J131" s="8">
        <f t="shared" si="36"/>
        <v>1.0985150446956663E-08</v>
      </c>
      <c r="K131" s="8">
        <f>'Enter data'!$C$83/D131</f>
        <v>0.8367108939245481</v>
      </c>
      <c r="L131" s="8"/>
      <c r="M131" s="8">
        <f>1+(2.7182818^(-G131/2/'Enter data'!C$31))^1.6</f>
        <v>1.9555752240220783</v>
      </c>
      <c r="N131" s="8">
        <f>1+(2.7182818^(-H131/2/'Enter data'!D$31))^1.6</f>
        <v>1.8973419510090028</v>
      </c>
      <c r="O131" s="8">
        <f t="shared" si="21"/>
        <v>1.6270482558857828</v>
      </c>
      <c r="P131" s="8">
        <f t="shared" si="22"/>
        <v>5.482531685429616</v>
      </c>
      <c r="Q131" s="58">
        <f>8.686*O131/2/'Enter data'!C$45</f>
        <v>0.09410218957372224</v>
      </c>
      <c r="R131" s="58">
        <f>8.686*P131/2/'Enter data'!C$45</f>
        <v>0.31708846627008314</v>
      </c>
      <c r="S131" s="58">
        <f t="shared" si="23"/>
        <v>0.028682696163655888</v>
      </c>
      <c r="T131" s="58">
        <f t="shared" si="24"/>
        <v>0.09664973977995706</v>
      </c>
      <c r="U131" s="36">
        <f t="shared" si="37"/>
        <v>7.109579941315399</v>
      </c>
      <c r="V131" s="36">
        <f>U131/(2*'Enter data'!$C$45)</f>
        <v>0.04733947223621982</v>
      </c>
      <c r="W131" s="36">
        <f t="shared" si="38"/>
        <v>0.411184975107137</v>
      </c>
      <c r="Y131" s="8"/>
      <c r="Z131" s="8">
        <f>4*PI()^2*D131*'Enter data'!$C$82*'Enter data'!$E$14*'Enter data'!$E$15/LN('Enter data'!$C$44)</f>
        <v>1.795038386225185E-05</v>
      </c>
      <c r="AA131" s="58">
        <f>27.28753*'Enter data'!$E$14^0.5*'Enter data'!$E$15*D131/'Enter data'!$C$83</f>
        <v>0.005849895127658527</v>
      </c>
      <c r="AB131" s="58">
        <f t="shared" si="32"/>
        <v>0.0017830697170380782</v>
      </c>
      <c r="AD131" s="36">
        <f>2*PI()/'Enter data'!$E$10/LN($C$3/$C$2)</f>
        <v>4.19829126836701E-16</v>
      </c>
      <c r="AE131" s="52">
        <f>8.686*AD131*'Enter data'!$C$45/2</f>
        <v>1.3691559855720513E-13</v>
      </c>
      <c r="AF131" s="58">
        <f t="shared" si="26"/>
        <v>4.17323819060001E-14</v>
      </c>
      <c r="AH131" s="8">
        <f t="shared" si="34"/>
        <v>0.4170405509716008</v>
      </c>
      <c r="AI131" s="58">
        <f t="shared" si="27"/>
        <v>0.12711550566069277</v>
      </c>
    </row>
    <row r="132" spans="4:35" ht="12.75">
      <c r="D132" s="8">
        <f>D131*'Enter data'!$C$74</f>
        <v>423992805.09237725</v>
      </c>
      <c r="E132" s="36">
        <f t="shared" si="20"/>
        <v>0.42399280509237725</v>
      </c>
      <c r="G132" s="8">
        <f t="shared" si="28"/>
        <v>3.978907336722119E-06</v>
      </c>
      <c r="H132" s="8">
        <f t="shared" si="29"/>
        <v>3.161468497638275E-06</v>
      </c>
      <c r="I132" s="8">
        <f t="shared" si="35"/>
        <v>5.724979149960352E-08</v>
      </c>
      <c r="J132" s="8">
        <f t="shared" si="36"/>
        <v>1.0103841435739703E-08</v>
      </c>
      <c r="K132" s="8">
        <f>'Enter data'!$C$83/D132</f>
        <v>0.7070696823137903</v>
      </c>
      <c r="L132" s="8"/>
      <c r="M132" s="8">
        <f>1+(2.7182818^(-G132/2/'Enter data'!C$31))^1.6</f>
        <v>1.959087176259989</v>
      </c>
      <c r="N132" s="8">
        <f>1+(2.7182818^(-H132/2/'Enter data'!D$31))^1.6</f>
        <v>1.905223132967632</v>
      </c>
      <c r="O132" s="8">
        <f t="shared" si="21"/>
        <v>1.776558399372377</v>
      </c>
      <c r="P132" s="8">
        <f t="shared" si="22"/>
        <v>6.010368655784674</v>
      </c>
      <c r="Q132" s="58">
        <f>8.686*O132/2/'Enter data'!C$45</f>
        <v>0.10274927905903714</v>
      </c>
      <c r="R132" s="58">
        <f>8.686*P132/2/'Enter data'!C$45</f>
        <v>0.34761651881473843</v>
      </c>
      <c r="S132" s="58">
        <f t="shared" si="23"/>
        <v>0.031318361088465356</v>
      </c>
      <c r="T132" s="58">
        <f t="shared" si="24"/>
        <v>0.10595480334514094</v>
      </c>
      <c r="U132" s="36">
        <f t="shared" si="37"/>
        <v>7.786927055157051</v>
      </c>
      <c r="V132" s="36">
        <f>U132/(2*'Enter data'!$C$45)</f>
        <v>0.051849619833499366</v>
      </c>
      <c r="W132" s="36">
        <f t="shared" si="38"/>
        <v>0.4503595759193954</v>
      </c>
      <c r="Y132" s="8"/>
      <c r="Z132" s="8">
        <f>4*PI()^2*D132*'Enter data'!$C$82*'Enter data'!$E$14*'Enter data'!$E$15/LN('Enter data'!$C$44)</f>
        <v>2.1241586371692465E-05</v>
      </c>
      <c r="AA132" s="58">
        <f>27.28753*'Enter data'!$E$14^0.5*'Enter data'!$E$15*D132/'Enter data'!$C$83</f>
        <v>0.00692247327817942</v>
      </c>
      <c r="AB132" s="58">
        <f t="shared" si="32"/>
        <v>0.002109995512734522</v>
      </c>
      <c r="AD132" s="36">
        <f>2*PI()/'Enter data'!$E$10/LN($C$3/$C$2)</f>
        <v>4.19829126836701E-16</v>
      </c>
      <c r="AE132" s="52">
        <f>8.686*AD132*'Enter data'!$C$45/2</f>
        <v>1.3691559855720513E-13</v>
      </c>
      <c r="AF132" s="58">
        <f t="shared" si="26"/>
        <v>4.17323819060001E-14</v>
      </c>
      <c r="AH132" s="8">
        <f t="shared" si="34"/>
        <v>0.45728827115209186</v>
      </c>
      <c r="AI132" s="58">
        <f t="shared" si="27"/>
        <v>0.13938315994638253</v>
      </c>
    </row>
    <row r="133" spans="4:35" ht="12.75">
      <c r="D133" s="8">
        <f>D132*'Enter data'!$C$74</f>
        <v>501731877.1263354</v>
      </c>
      <c r="E133" s="36">
        <f t="shared" si="20"/>
        <v>0.5017318771263354</v>
      </c>
      <c r="G133" s="8">
        <f t="shared" si="28"/>
        <v>3.6576927491675473E-06</v>
      </c>
      <c r="H133" s="8">
        <f t="shared" si="29"/>
        <v>2.906245213053759E-06</v>
      </c>
      <c r="I133" s="8">
        <f t="shared" si="35"/>
        <v>5.2620774575666705E-08</v>
      </c>
      <c r="J133" s="8">
        <f t="shared" si="36"/>
        <v>9.292825422335008E-09</v>
      </c>
      <c r="K133" s="8">
        <f>'Enter data'!$C$83/D133</f>
        <v>0.5975152699427002</v>
      </c>
      <c r="L133" s="8"/>
      <c r="M133" s="8">
        <f>1+(2.7182818^(-G133/2/'Enter data'!C$31))^1.6</f>
        <v>1.9623269960473881</v>
      </c>
      <c r="N133" s="8">
        <f>1+(2.7182818^(-H133/2/'Enter data'!D$31))^1.6</f>
        <v>1.9125291203315524</v>
      </c>
      <c r="O133" s="8">
        <f t="shared" si="21"/>
        <v>1.9392392580196218</v>
      </c>
      <c r="P133" s="8">
        <f t="shared" si="22"/>
        <v>6.585128824775382</v>
      </c>
      <c r="Q133" s="58">
        <f>8.686*O133/2/'Enter data'!C$45</f>
        <v>0.11215811186105183</v>
      </c>
      <c r="R133" s="58">
        <f>8.686*P133/2/'Enter data'!C$45</f>
        <v>0.3808584280120431</v>
      </c>
      <c r="S133" s="58">
        <f t="shared" si="23"/>
        <v>0.034186208199540304</v>
      </c>
      <c r="T133" s="58">
        <f t="shared" si="24"/>
        <v>0.11608706047672614</v>
      </c>
      <c r="U133" s="36">
        <f t="shared" si="37"/>
        <v>8.524368082795004</v>
      </c>
      <c r="V133" s="36">
        <f>U133/(2*'Enter data'!$C$45)</f>
        <v>0.05675990558060039</v>
      </c>
      <c r="W133" s="36">
        <f t="shared" si="38"/>
        <v>0.4930097286844252</v>
      </c>
      <c r="Y133" s="8"/>
      <c r="Z133" s="8">
        <f>4*PI()^2*D133*'Enter data'!$C$82*'Enter data'!$E$14*'Enter data'!$E$15/LN('Enter data'!$C$44)</f>
        <v>2.5136230793087225E-05</v>
      </c>
      <c r="AA133" s="58">
        <f>27.28753*'Enter data'!$E$14^0.5*'Enter data'!$E$15*D133/'Enter data'!$C$83</f>
        <v>0.008191708610388163</v>
      </c>
      <c r="AB133" s="58">
        <f t="shared" si="32"/>
        <v>0.0024968631463021707</v>
      </c>
      <c r="AD133" s="36">
        <f>2*PI()/'Enter data'!$E$10/LN($C$3/$C$2)</f>
        <v>4.19829126836701E-16</v>
      </c>
      <c r="AE133" s="52">
        <f>8.686*AD133*'Enter data'!$C$45/2</f>
        <v>1.3691559855720513E-13</v>
      </c>
      <c r="AF133" s="58">
        <f t="shared" si="26"/>
        <v>4.17323819060001E-14</v>
      </c>
      <c r="AH133" s="8">
        <f t="shared" si="34"/>
        <v>0.50120824848362</v>
      </c>
      <c r="AI133" s="58">
        <f t="shared" si="27"/>
        <v>0.15277013182261034</v>
      </c>
    </row>
    <row r="134" spans="4:35" ht="12.75">
      <c r="D134" s="8">
        <f>D133*'Enter data'!$C$74</f>
        <v>593724406.4079566</v>
      </c>
      <c r="E134" s="36">
        <f t="shared" si="20"/>
        <v>0.5937244064079567</v>
      </c>
      <c r="G134" s="8">
        <f t="shared" si="28"/>
        <v>3.3624096052295673E-06</v>
      </c>
      <c r="H134" s="8">
        <f t="shared" si="29"/>
        <v>2.6716259373476383E-06</v>
      </c>
      <c r="I134" s="8">
        <f t="shared" si="35"/>
        <v>4.836652790178986E-08</v>
      </c>
      <c r="J134" s="8">
        <f t="shared" si="36"/>
        <v>8.546560096844729E-09</v>
      </c>
      <c r="K134" s="8">
        <f>'Enter data'!$C$83/D134</f>
        <v>0.5049353787117322</v>
      </c>
      <c r="L134" s="8"/>
      <c r="M134" s="8">
        <f>1+(2.7182818^(-G134/2/'Enter data'!C$31))^1.6</f>
        <v>1.9653149210019003</v>
      </c>
      <c r="N134" s="8">
        <f>1+(2.7182818^(-H134/2/'Enter data'!D$31))^1.6</f>
        <v>1.919297306619769</v>
      </c>
      <c r="O134" s="8">
        <f t="shared" si="21"/>
        <v>2.116241686476298</v>
      </c>
      <c r="P134" s="8">
        <f t="shared" si="22"/>
        <v>7.210893773776094</v>
      </c>
      <c r="Q134" s="58">
        <f>8.686*O134/2/'Enter data'!C$45</f>
        <v>0.12239524896954616</v>
      </c>
      <c r="R134" s="58">
        <f>8.686*P134/2/'Enter data'!C$45</f>
        <v>0.417050256770925</v>
      </c>
      <c r="S134" s="58">
        <f t="shared" si="23"/>
        <v>0.03730652553326815</v>
      </c>
      <c r="T134" s="58">
        <f t="shared" si="24"/>
        <v>0.12711846402430046</v>
      </c>
      <c r="U134" s="36">
        <f t="shared" si="37"/>
        <v>9.327135460252393</v>
      </c>
      <c r="V134" s="36">
        <f>U134/(2*'Enter data'!$C$45)</f>
        <v>0.06210516989874179</v>
      </c>
      <c r="W134" s="36">
        <f t="shared" si="38"/>
        <v>0.5394380531200833</v>
      </c>
      <c r="Y134" s="8"/>
      <c r="Z134" s="8">
        <f>4*PI()^2*D134*'Enter data'!$C$82*'Enter data'!$E$14*'Enter data'!$E$15/LN('Enter data'!$C$44)</f>
        <v>2.9744958188497305E-05</v>
      </c>
      <c r="AA134" s="58">
        <f>27.28753*'Enter data'!$E$14^0.5*'Enter data'!$E$15*D134/'Enter data'!$C$83</f>
        <v>0.009693658214474992</v>
      </c>
      <c r="AB134" s="58">
        <f t="shared" si="32"/>
        <v>0.0029546629524734797</v>
      </c>
      <c r="AD134" s="36">
        <f>2*PI()/'Enter data'!$E$10/LN($C$3/$C$2)</f>
        <v>4.19829126836701E-16</v>
      </c>
      <c r="AE134" s="52">
        <f>8.686*AD134*'Enter data'!$C$45/2</f>
        <v>1.3691559855720513E-13</v>
      </c>
      <c r="AF134" s="58">
        <f t="shared" si="26"/>
        <v>4.17323819060001E-14</v>
      </c>
      <c r="AH134" s="8">
        <f t="shared" si="34"/>
        <v>0.549139163955083</v>
      </c>
      <c r="AI134" s="58">
        <f t="shared" si="27"/>
        <v>0.16737965251008383</v>
      </c>
    </row>
    <row r="135" spans="4:35" ht="12.75">
      <c r="D135" s="8">
        <f>D134*'Enter data'!$C$74</f>
        <v>702583764.0284498</v>
      </c>
      <c r="E135" s="36">
        <f t="shared" si="20"/>
        <v>0.7025837640284498</v>
      </c>
      <c r="G135" s="8">
        <f t="shared" si="28"/>
        <v>3.0909644764211368E-06</v>
      </c>
      <c r="H135" s="8">
        <f t="shared" si="29"/>
        <v>2.4559473223557682E-06</v>
      </c>
      <c r="I135" s="8">
        <f t="shared" si="35"/>
        <v>4.445666713342735E-08</v>
      </c>
      <c r="J135" s="8">
        <f t="shared" si="36"/>
        <v>7.859930062507881E-09</v>
      </c>
      <c r="K135" s="8">
        <f>'Enter data'!$C$83/D135</f>
        <v>0.4266999514492915</v>
      </c>
      <c r="L135" s="8"/>
      <c r="M135" s="8">
        <f>1+(2.7182818^(-G135/2/'Enter data'!C$31))^1.6</f>
        <v>1.9680698160586436</v>
      </c>
      <c r="N135" s="8">
        <f>1+(2.7182818^(-H135/2/'Enter data'!D$31))^1.6</f>
        <v>1.9255633769005396</v>
      </c>
      <c r="O135" s="8">
        <f t="shared" si="21"/>
        <v>2.3088194604262524</v>
      </c>
      <c r="P135" s="8">
        <f t="shared" si="22"/>
        <v>7.892105712713369</v>
      </c>
      <c r="Q135" s="58">
        <f>8.686*O135/2/'Enter data'!C$45</f>
        <v>0.13353320392962092</v>
      </c>
      <c r="R135" s="58">
        <f>8.686*P135/2/'Enter data'!C$45</f>
        <v>0.45644892536349213</v>
      </c>
      <c r="S135" s="58">
        <f t="shared" si="23"/>
        <v>0.040701415486960775</v>
      </c>
      <c r="T135" s="58">
        <f t="shared" si="24"/>
        <v>0.13912732423905513</v>
      </c>
      <c r="U135" s="36">
        <f t="shared" si="37"/>
        <v>10.200925173139622</v>
      </c>
      <c r="V135" s="36">
        <f>U135/(2*'Enter data'!$C$45)</f>
        <v>0.06792333977585921</v>
      </c>
      <c r="W135" s="36">
        <f t="shared" si="38"/>
        <v>0.5899739784923399</v>
      </c>
      <c r="Y135" s="8"/>
      <c r="Z135" s="8">
        <f>4*PI()^2*D135*'Enter data'!$C$82*'Enter data'!$E$14*'Enter data'!$E$15/LN('Enter data'!$C$44)</f>
        <v>3.51986956564217E-05</v>
      </c>
      <c r="AA135" s="58">
        <f>27.28753*'Enter data'!$E$14^0.5*'Enter data'!$E$15*D135/'Enter data'!$C$83</f>
        <v>0.011470990247369882</v>
      </c>
      <c r="AB135" s="58">
        <f t="shared" si="32"/>
        <v>0.0034964003436265185</v>
      </c>
      <c r="AD135" s="36">
        <f>2*PI()/'Enter data'!$E$10/LN($C$3/$C$2)</f>
        <v>4.19829126836701E-16</v>
      </c>
      <c r="AE135" s="52">
        <f>8.686*AD135*'Enter data'!$C$45/2</f>
        <v>1.3691559855720513E-13</v>
      </c>
      <c r="AF135" s="58">
        <f t="shared" si="26"/>
        <v>4.17323819060001E-14</v>
      </c>
      <c r="AH135" s="8">
        <f t="shared" si="34"/>
        <v>0.6014531195406199</v>
      </c>
      <c r="AI135" s="58">
        <f t="shared" si="27"/>
        <v>0.18332514006968417</v>
      </c>
    </row>
    <row r="136" spans="4:35" ht="12.75">
      <c r="D136" s="8">
        <f>D135*'Enter data'!$C$74</f>
        <v>831402482.6144813</v>
      </c>
      <c r="E136" s="36">
        <f t="shared" si="20"/>
        <v>0.8314024826144814</v>
      </c>
      <c r="G136" s="8">
        <f t="shared" si="28"/>
        <v>2.8414329353681143E-06</v>
      </c>
      <c r="H136" s="8">
        <f t="shared" si="29"/>
        <v>2.2576803009236586E-06</v>
      </c>
      <c r="I136" s="8">
        <f t="shared" si="35"/>
        <v>4.08632568406752E-08</v>
      </c>
      <c r="J136" s="8">
        <f t="shared" si="36"/>
        <v>7.228215549738343E-09</v>
      </c>
      <c r="K136" s="8">
        <f>'Enter data'!$C$83/D136</f>
        <v>0.36058643589474676</v>
      </c>
      <c r="L136" s="8"/>
      <c r="M136" s="8">
        <f>1+(2.7182818^(-G136/2/'Enter data'!C$31))^1.6</f>
        <v>1.9706092454133737</v>
      </c>
      <c r="N136" s="8">
        <f>1+(2.7182818^(-H136/2/'Enter data'!D$31))^1.6</f>
        <v>1.9313612622071266</v>
      </c>
      <c r="O136" s="8">
        <f t="shared" si="21"/>
        <v>2.518337477384959</v>
      </c>
      <c r="P136" s="8">
        <f t="shared" si="22"/>
        <v>8.633599107609703</v>
      </c>
      <c r="Q136" s="58">
        <f>8.686*O136/2/'Enter data'!C$45</f>
        <v>0.14565091714411</v>
      </c>
      <c r="R136" s="58">
        <f>8.686*P136/2/'Enter data'!C$45</f>
        <v>0.4993340406400582</v>
      </c>
      <c r="S136" s="58">
        <f t="shared" si="23"/>
        <v>0.04439493938798768</v>
      </c>
      <c r="T136" s="58">
        <f t="shared" si="24"/>
        <v>0.15219886632530424</v>
      </c>
      <c r="U136" s="36">
        <f t="shared" si="37"/>
        <v>11.151936584994662</v>
      </c>
      <c r="V136" s="36">
        <f>U136/(2*'Enter data'!$C$45)</f>
        <v>0.07425569396548104</v>
      </c>
      <c r="W136" s="36">
        <f t="shared" si="38"/>
        <v>0.6449760471008924</v>
      </c>
      <c r="Y136" s="8"/>
      <c r="Z136" s="8">
        <f>4*PI()^2*D136*'Enter data'!$C$82*'Enter data'!$E$14*'Enter data'!$E$15/LN('Enter data'!$C$44)</f>
        <v>4.1652375776158075E-05</v>
      </c>
      <c r="AA136" s="58">
        <f>27.28753*'Enter data'!$E$14^0.5*'Enter data'!$E$15*D136/'Enter data'!$C$83</f>
        <v>0.013574196071692371</v>
      </c>
      <c r="AB136" s="58">
        <f t="shared" si="32"/>
        <v>0.0041374652742295695</v>
      </c>
      <c r="AD136" s="36">
        <f>2*PI()/'Enter data'!$E$10/LN($C$3/$C$2)</f>
        <v>4.19829126836701E-16</v>
      </c>
      <c r="AE136" s="52">
        <f>8.686*AD136*'Enter data'!$C$45/2</f>
        <v>1.3691559855720513E-13</v>
      </c>
      <c r="AF136" s="58">
        <f t="shared" si="26"/>
        <v>4.17323819060001E-14</v>
      </c>
      <c r="AH136" s="8">
        <f t="shared" si="34"/>
        <v>0.6585591538559975</v>
      </c>
      <c r="AI136" s="58">
        <f t="shared" si="27"/>
        <v>0.20073127098756324</v>
      </c>
    </row>
    <row r="137" spans="4:35" ht="12.75">
      <c r="D137" s="8">
        <f>D136*'Enter data'!$C$74</f>
        <v>983840110.5857791</v>
      </c>
      <c r="E137" s="36">
        <f t="shared" si="20"/>
        <v>0.983840110585779</v>
      </c>
      <c r="G137" s="8">
        <f t="shared" si="28"/>
        <v>2.6120459124599235E-06</v>
      </c>
      <c r="H137" s="8">
        <f t="shared" si="29"/>
        <v>2.0754192464883715E-06</v>
      </c>
      <c r="I137" s="8">
        <f t="shared" si="35"/>
        <v>3.7560628666206867E-08</v>
      </c>
      <c r="J137" s="8">
        <f t="shared" si="36"/>
        <v>6.647063163383402E-09</v>
      </c>
      <c r="K137" s="8">
        <f>'Enter data'!$C$83/D137</f>
        <v>0.30471664529056797</v>
      </c>
      <c r="L137" s="8"/>
      <c r="M137" s="8">
        <f>1+(2.7182818^(-G137/2/'Enter data'!C$31))^1.6</f>
        <v>1.9729495443345644</v>
      </c>
      <c r="N137" s="8">
        <f>1+(2.7182818^(-H137/2/'Enter data'!D$31))^1.6</f>
        <v>1.9367231219089573</v>
      </c>
      <c r="O137" s="8">
        <f t="shared" si="21"/>
        <v>2.7462810429951485</v>
      </c>
      <c r="P137" s="8">
        <f t="shared" si="22"/>
        <v>9.44063507171953</v>
      </c>
      <c r="Q137" s="58">
        <f>8.686*O137/2/'Enter data'!C$45</f>
        <v>0.15883429295706808</v>
      </c>
      <c r="R137" s="58">
        <f>8.686*P137/2/'Enter data'!C$45</f>
        <v>0.5460098850796751</v>
      </c>
      <c r="S137" s="58">
        <f t="shared" si="23"/>
        <v>0.048413281198813725</v>
      </c>
      <c r="T137" s="58">
        <f t="shared" si="24"/>
        <v>0.16642583671045935</v>
      </c>
      <c r="U137" s="36">
        <f t="shared" si="37"/>
        <v>12.186916114714679</v>
      </c>
      <c r="V137" s="36">
        <f>U137/(2*'Enter data'!$C$45)</f>
        <v>0.08114715381496007</v>
      </c>
      <c r="W137" s="36">
        <f t="shared" si="38"/>
        <v>0.7048344403782854</v>
      </c>
      <c r="Y137" s="8"/>
      <c r="Z137" s="8">
        <f>4*PI()^2*D137*'Enter data'!$C$82*'Enter data'!$E$14*'Enter data'!$E$15/LN('Enter data'!$C$44)</f>
        <v>4.928933801221009E-05</v>
      </c>
      <c r="AA137" s="58">
        <f>27.28753*'Enter data'!$E$14^0.5*'Enter data'!$E$15*D137/'Enter data'!$C$83</f>
        <v>0.01606302464035276</v>
      </c>
      <c r="AB137" s="58">
        <f t="shared" si="32"/>
        <v>0.004896069446583991</v>
      </c>
      <c r="AD137" s="36">
        <f>2*PI()/'Enter data'!$E$10/LN($C$3/$C$2)</f>
        <v>4.19829126836701E-16</v>
      </c>
      <c r="AE137" s="52">
        <f>8.686*AD137*'Enter data'!$C$45/2</f>
        <v>1.3691559855720513E-13</v>
      </c>
      <c r="AF137" s="58">
        <f t="shared" si="26"/>
        <v>4.17323819060001E-14</v>
      </c>
      <c r="AH137" s="8">
        <f t="shared" si="34"/>
        <v>0.7209072026772329</v>
      </c>
      <c r="AI137" s="58">
        <f t="shared" si="27"/>
        <v>0.2197351873558988</v>
      </c>
    </row>
    <row r="138" spans="4:35" ht="12.75">
      <c r="D138" s="8">
        <f>D137*'Enter data'!$C$74</f>
        <v>1164227174.4890487</v>
      </c>
      <c r="E138" s="36">
        <f t="shared" si="20"/>
        <v>1.1642271744890487</v>
      </c>
      <c r="G138" s="8">
        <f t="shared" si="28"/>
        <v>2.401177153918886E-06</v>
      </c>
      <c r="H138" s="8">
        <f t="shared" si="29"/>
        <v>1.907872007800279E-06</v>
      </c>
      <c r="I138" s="8">
        <f t="shared" si="35"/>
        <v>3.452520239203377E-08</v>
      </c>
      <c r="J138" s="8">
        <f t="shared" si="36"/>
        <v>6.112458575367065E-09</v>
      </c>
      <c r="K138" s="8">
        <f>'Enter data'!$C$83/D138</f>
        <v>0.25750340188681103</v>
      </c>
      <c r="L138" s="8"/>
      <c r="M138" s="8">
        <f>1+(2.7182818^(-G138/2/'Enter data'!C$31))^1.6</f>
        <v>1.975105890050798</v>
      </c>
      <c r="N138" s="8">
        <f>1+(2.7182818^(-H138/2/'Enter data'!D$31))^1.6</f>
        <v>1.9416793488929511</v>
      </c>
      <c r="O138" s="8">
        <f t="shared" si="21"/>
        <v>2.9942662077502233</v>
      </c>
      <c r="P138" s="8">
        <f t="shared" si="22"/>
        <v>10.31893876605121</v>
      </c>
      <c r="Q138" s="58">
        <f>8.686*O138/2/'Enter data'!C$45</f>
        <v>0.1731767974899459</v>
      </c>
      <c r="R138" s="58">
        <f>8.686*P138/2/'Enter data'!C$45</f>
        <v>0.5968075798919317</v>
      </c>
      <c r="S138" s="58">
        <f t="shared" si="23"/>
        <v>0.052784929739681144</v>
      </c>
      <c r="T138" s="58">
        <f t="shared" si="24"/>
        <v>0.18190916236647514</v>
      </c>
      <c r="U138" s="36">
        <f t="shared" si="37"/>
        <v>13.313204973801433</v>
      </c>
      <c r="V138" s="36">
        <f>U138/(2*'Enter data'!$C$45)</f>
        <v>0.08864660112616596</v>
      </c>
      <c r="W138" s="36">
        <f t="shared" si="38"/>
        <v>0.7699737397897423</v>
      </c>
      <c r="Y138" s="8"/>
      <c r="Z138" s="8">
        <f>4*PI()^2*D138*'Enter data'!$C$82*'Enter data'!$E$14*'Enter data'!$E$15/LN('Enter data'!$C$44)</f>
        <v>5.832653711610167E-05</v>
      </c>
      <c r="AA138" s="58">
        <f>27.28753*'Enter data'!$E$14^0.5*'Enter data'!$E$15*D138/'Enter data'!$C$83</f>
        <v>0.01900817987554021</v>
      </c>
      <c r="AB138" s="58">
        <f t="shared" si="32"/>
        <v>0.005793763678230983</v>
      </c>
      <c r="AD138" s="36">
        <f>2*PI()/'Enter data'!$E$10/LN($C$3/$C$2)</f>
        <v>4.19829126836701E-16</v>
      </c>
      <c r="AE138" s="52">
        <f>8.686*AD138*'Enter data'!$C$45/2</f>
        <v>1.3691559855720513E-13</v>
      </c>
      <c r="AF138" s="58">
        <f t="shared" si="26"/>
        <v>4.17323819060001E-14</v>
      </c>
      <c r="AH138" s="8">
        <f t="shared" si="34"/>
        <v>0.7889925572575546</v>
      </c>
      <c r="AI138" s="58">
        <f t="shared" si="27"/>
        <v>0.24048785578442897</v>
      </c>
    </row>
    <row r="139" spans="4:35" ht="12.75">
      <c r="D139" s="8">
        <f>D138*'Enter data'!$C$74</f>
        <v>1377688202.823661</v>
      </c>
      <c r="E139" s="36">
        <f t="shared" si="20"/>
        <v>1.377688202823661</v>
      </c>
      <c r="G139" s="8">
        <f t="shared" si="28"/>
        <v>2.2073316923714157E-06</v>
      </c>
      <c r="H139" s="8">
        <f t="shared" si="29"/>
        <v>1.7538507481352217E-06</v>
      </c>
      <c r="I139" s="8">
        <f t="shared" si="35"/>
        <v>3.173531693905689E-08</v>
      </c>
      <c r="J139" s="8">
        <f t="shared" si="36"/>
        <v>5.620701070150471E-09</v>
      </c>
      <c r="K139" s="8">
        <f>'Enter data'!$C$83/D139</f>
        <v>0.21760544757918082</v>
      </c>
      <c r="L139" s="8"/>
      <c r="M139" s="8">
        <f>1+(2.7182818^(-G139/2/'Enter data'!C$31))^1.6</f>
        <v>1.9770923710922186</v>
      </c>
      <c r="N139" s="8">
        <f>1+(2.7182818^(-H139/2/'Enter data'!D$31))^1.6</f>
        <v>1.9462585930930576</v>
      </c>
      <c r="O139" s="8">
        <f t="shared" si="21"/>
        <v>3.2640511408927875</v>
      </c>
      <c r="P139" s="8">
        <f t="shared" si="22"/>
        <v>11.274740076238965</v>
      </c>
      <c r="Q139" s="58">
        <f>8.686*O139/2/'Enter data'!C$45</f>
        <v>0.18878011646397005</v>
      </c>
      <c r="R139" s="58">
        <f>8.686*P139/2/'Enter data'!C$45</f>
        <v>0.6520874376101862</v>
      </c>
      <c r="S139" s="58">
        <f t="shared" si="23"/>
        <v>0.057540879195309085</v>
      </c>
      <c r="T139" s="58">
        <f t="shared" si="24"/>
        <v>0.19875866788898627</v>
      </c>
      <c r="U139" s="36">
        <f t="shared" si="37"/>
        <v>14.538791217131752</v>
      </c>
      <c r="V139" s="36">
        <f>U139/(2*'Enter data'!$C$45)</f>
        <v>0.09680722473798713</v>
      </c>
      <c r="W139" s="36">
        <f t="shared" si="38"/>
        <v>0.8408559372071875</v>
      </c>
      <c r="Y139" s="8"/>
      <c r="Z139" s="8">
        <f>4*PI()^2*D139*'Enter data'!$C$82*'Enter data'!$E$14*'Enter data'!$E$15/LN('Enter data'!$C$44)</f>
        <v>6.902070648855613E-05</v>
      </c>
      <c r="AA139" s="58">
        <f>27.28753*'Enter data'!$E$14^0.5*'Enter data'!$E$15*D139/'Enter data'!$C$83</f>
        <v>0.022493329262113188</v>
      </c>
      <c r="AB139" s="58">
        <f t="shared" si="32"/>
        <v>0.006856050128661664</v>
      </c>
      <c r="AD139" s="36">
        <f>2*PI()/'Enter data'!$E$10/LN($C$3/$C$2)</f>
        <v>4.19829126836701E-16</v>
      </c>
      <c r="AE139" s="52">
        <f>8.686*AD139*'Enter data'!$C$45/2</f>
        <v>1.3691559855720513E-13</v>
      </c>
      <c r="AF139" s="58">
        <f t="shared" si="26"/>
        <v>4.17323819060001E-14</v>
      </c>
      <c r="AH139" s="8">
        <f t="shared" si="34"/>
        <v>0.8633608833364064</v>
      </c>
      <c r="AI139" s="58">
        <f t="shared" si="27"/>
        <v>0.26315559721299875</v>
      </c>
    </row>
    <row r="140" spans="4:35" ht="12.75">
      <c r="D140" s="8">
        <f>D139*'Enter data'!$C$74</f>
        <v>1630287306.2832315</v>
      </c>
      <c r="E140" s="36">
        <f t="shared" si="20"/>
        <v>1.6302873062832315</v>
      </c>
      <c r="G140" s="8">
        <f t="shared" si="28"/>
        <v>2.029135248182463E-06</v>
      </c>
      <c r="H140" s="8">
        <f t="shared" si="29"/>
        <v>1.6122635240510746E-06</v>
      </c>
      <c r="I140" s="8">
        <f t="shared" si="35"/>
        <v>2.9171073652775063E-08</v>
      </c>
      <c r="J140" s="8">
        <f t="shared" si="36"/>
        <v>5.168379847923699E-09</v>
      </c>
      <c r="K140" s="8">
        <f>'Enter data'!$C$83/D140</f>
        <v>0.18388934075888386</v>
      </c>
      <c r="L140" s="8"/>
      <c r="M140" s="8">
        <f>1+(2.7182818^(-G140/2/'Enter data'!C$31))^1.6</f>
        <v>1.9789220546099688</v>
      </c>
      <c r="N140" s="8">
        <f>1+(2.7182818^(-H140/2/'Enter data'!D$31))^1.6</f>
        <v>1.9504877995286187</v>
      </c>
      <c r="O140" s="8">
        <f t="shared" si="21"/>
        <v>3.557548564655031</v>
      </c>
      <c r="P140" s="8">
        <f t="shared" si="22"/>
        <v>12.314817855790817</v>
      </c>
      <c r="Q140" s="58">
        <f>8.686*O140/2/'Enter data'!C$45</f>
        <v>0.2057548743486019</v>
      </c>
      <c r="R140" s="58">
        <f>8.686*P140/2/'Enter data'!C$45</f>
        <v>0.7122415209502165</v>
      </c>
      <c r="S140" s="58">
        <f t="shared" si="23"/>
        <v>0.06271484831400935</v>
      </c>
      <c r="T140" s="58">
        <f t="shared" si="24"/>
        <v>0.21709385544690823</v>
      </c>
      <c r="U140" s="36">
        <f t="shared" si="37"/>
        <v>15.872366420445848</v>
      </c>
      <c r="V140" s="36">
        <f>U140/(2*'Enter data'!$C$45)</f>
        <v>0.10568689791605095</v>
      </c>
      <c r="W140" s="36">
        <f t="shared" si="38"/>
        <v>0.9179837128710685</v>
      </c>
      <c r="Y140" s="8"/>
      <c r="Z140" s="8">
        <f>4*PI()^2*D140*'Enter data'!$C$82*'Enter data'!$E$14*'Enter data'!$E$15/LN('Enter data'!$C$44)</f>
        <v>8.167565159400318E-05</v>
      </c>
      <c r="AA140" s="58">
        <f>27.28753*'Enter data'!$E$14^0.5*'Enter data'!$E$15*D140/'Enter data'!$C$83</f>
        <v>0.026617480716546422</v>
      </c>
      <c r="AB140" s="58">
        <f t="shared" si="32"/>
        <v>0.008113106777781766</v>
      </c>
      <c r="AD140" s="36">
        <f>2*PI()/'Enter data'!$E$10/LN($C$3/$C$2)</f>
        <v>4.19829126836701E-16</v>
      </c>
      <c r="AE140" s="52">
        <f>8.686*AD140*'Enter data'!$C$45/2</f>
        <v>1.3691559855720513E-13</v>
      </c>
      <c r="AF140" s="58">
        <f t="shared" si="26"/>
        <v>4.17323819060001E-14</v>
      </c>
      <c r="AH140" s="8">
        <f t="shared" si="34"/>
        <v>0.9446138760155017</v>
      </c>
      <c r="AI140" s="58">
        <f t="shared" si="27"/>
        <v>0.28792181053874105</v>
      </c>
    </row>
    <row r="141" spans="4:35" ht="12.75">
      <c r="D141" s="8">
        <f>D140*'Enter data'!$C$74</f>
        <v>1929200450.1314788</v>
      </c>
      <c r="E141" s="36">
        <f t="shared" si="20"/>
        <v>1.9292004501314788</v>
      </c>
      <c r="G141" s="8">
        <f t="shared" si="28"/>
        <v>1.8653244864132969E-06</v>
      </c>
      <c r="H141" s="8">
        <f t="shared" si="29"/>
        <v>1.4821065439857925E-06</v>
      </c>
      <c r="I141" s="8">
        <f t="shared" si="35"/>
        <v>2.6814192060059486E-08</v>
      </c>
      <c r="J141" s="8">
        <f t="shared" si="36"/>
        <v>4.752351989676651E-09</v>
      </c>
      <c r="K141" s="8">
        <f>'Enter data'!$C$83/D141</f>
        <v>0.15539725692038303</v>
      </c>
      <c r="L141" s="8"/>
      <c r="M141" s="8">
        <f>1+(2.7182818^(-G141/2/'Enter data'!C$31))^1.6</f>
        <v>1.980607051319018</v>
      </c>
      <c r="N141" s="8">
        <f>1+(2.7182818^(-H141/2/'Enter data'!D$31))^1.6</f>
        <v>1.9543922575728154</v>
      </c>
      <c r="O141" s="8">
        <f t="shared" si="21"/>
        <v>3.876839305772343</v>
      </c>
      <c r="P141" s="8">
        <f t="shared" si="22"/>
        <v>13.446548050859594</v>
      </c>
      <c r="Q141" s="58">
        <f>8.686*O141/2/'Enter data'!C$45</f>
        <v>0.2242214181287667</v>
      </c>
      <c r="R141" s="58">
        <f>8.686*P141/2/'Enter data'!C$45</f>
        <v>0.7776964261611802</v>
      </c>
      <c r="S141" s="58">
        <f t="shared" si="23"/>
        <v>0.06834351930284281</v>
      </c>
      <c r="T141" s="58">
        <f t="shared" si="24"/>
        <v>0.23704475315812612</v>
      </c>
      <c r="U141" s="36">
        <f t="shared" si="37"/>
        <v>17.323387356631937</v>
      </c>
      <c r="V141" s="36">
        <f>U141/(2*'Enter data'!$C$45)</f>
        <v>0.11534858902716405</v>
      </c>
      <c r="W141" s="36">
        <f t="shared" si="38"/>
        <v>1.0019040024592636</v>
      </c>
      <c r="Y141" s="8"/>
      <c r="Z141" s="8">
        <f>4*PI()^2*D141*'Enter data'!$C$82*'Enter data'!$E$14*'Enter data'!$E$15/LN('Enter data'!$C$44)</f>
        <v>9.665088062248474E-05</v>
      </c>
      <c r="AA141" s="58">
        <f>27.28753*'Enter data'!$E$14^0.5*'Enter data'!$E$15*D141/'Enter data'!$C$83</f>
        <v>0.03149779525475012</v>
      </c>
      <c r="AB141" s="58">
        <f t="shared" si="32"/>
        <v>0.009600644737487844</v>
      </c>
      <c r="AD141" s="36">
        <f>2*PI()/'Enter data'!$E$10/LN($C$3/$C$2)</f>
        <v>4.19829126836701E-16</v>
      </c>
      <c r="AE141" s="52">
        <f>8.686*AD141*'Enter data'!$C$45/2</f>
        <v>1.3691559855720513E-13</v>
      </c>
      <c r="AF141" s="58">
        <f t="shared" si="26"/>
        <v>4.17323819060001E-14</v>
      </c>
      <c r="AH141" s="8">
        <f aca="true" t="shared" si="39" ref="AH141:AH157">Q141+R141+AA141+AE141</f>
        <v>1.033415639544834</v>
      </c>
      <c r="AI141" s="58">
        <f t="shared" si="27"/>
        <v>0.31498891719849853</v>
      </c>
    </row>
    <row r="142" spans="4:35" ht="12.75">
      <c r="D142" s="8">
        <f>D141*'Enter data'!$C$74</f>
        <v>2282919312.71463</v>
      </c>
      <c r="E142" s="36">
        <f aca="true" t="shared" si="40" ref="E142:E157">D142/1000000000</f>
        <v>2.2829193127146303</v>
      </c>
      <c r="G142" s="8">
        <f t="shared" si="28"/>
        <v>1.714738060328719E-06</v>
      </c>
      <c r="H142" s="8">
        <f t="shared" si="29"/>
        <v>1.362457051813772E-06</v>
      </c>
      <c r="I142" s="8">
        <f t="shared" si="35"/>
        <v>2.464787744771094E-08</v>
      </c>
      <c r="J142" s="8">
        <f t="shared" si="36"/>
        <v>4.369721988899914E-09</v>
      </c>
      <c r="K142" s="8">
        <f>'Enter data'!$C$83/D142</f>
        <v>0.13131977829015576</v>
      </c>
      <c r="L142" s="8"/>
      <c r="M142" s="8">
        <f>1+(2.7182818^(-G142/2/'Enter data'!C$31))^1.6</f>
        <v>1.9821585778107533</v>
      </c>
      <c r="N142" s="8">
        <f>1+(2.7182818^(-H142/2/'Enter data'!D$31))^1.6</f>
        <v>1.9579956586724205</v>
      </c>
      <c r="O142" s="8">
        <f aca="true" t="shared" si="41" ref="O142:O157">C$5/I142*M142^2</f>
        <v>4.224187046206335</v>
      </c>
      <c r="P142" s="8">
        <f aca="true" t="shared" si="42" ref="P142:P157">C$6/J142*N142^2</f>
        <v>14.677956049047227</v>
      </c>
      <c r="Q142" s="58">
        <f>8.686*O142/2/'Enter data'!C$45</f>
        <v>0.24431067042972499</v>
      </c>
      <c r="R142" s="58">
        <f>8.686*P142/2/'Enter data'!C$45</f>
        <v>0.8489163106783515</v>
      </c>
      <c r="S142" s="58">
        <f aca="true" t="shared" si="43" ref="S142:S157">Q142/3.2808</f>
        <v>0.07446679786324219</v>
      </c>
      <c r="T142" s="58">
        <f aca="true" t="shared" si="44" ref="T142:T157">R142/3.2808</f>
        <v>0.25875283792927073</v>
      </c>
      <c r="U142" s="36">
        <f t="shared" si="37"/>
        <v>18.902143095253564</v>
      </c>
      <c r="V142" s="36">
        <f>U142/(2*'Enter data'!$C$45)</f>
        <v>0.1258608083246692</v>
      </c>
      <c r="W142" s="36">
        <f t="shared" si="38"/>
        <v>1.0932118778110775</v>
      </c>
      <c r="Y142" s="8"/>
      <c r="Z142" s="8">
        <f>4*PI()^2*D142*'Enter data'!$C$82*'Enter data'!$E$14*'Enter data'!$E$15/LN('Enter data'!$C$44)</f>
        <v>0.00011437181758324235</v>
      </c>
      <c r="AA142" s="58">
        <f>27.28753*'Enter data'!$E$14^0.5*'Enter data'!$E$15*D142/'Enter data'!$C$83</f>
        <v>0.03727291536247551</v>
      </c>
      <c r="AB142" s="58">
        <f t="shared" si="32"/>
        <v>0.01136092275130319</v>
      </c>
      <c r="AD142" s="36">
        <f>2*PI()/'Enter data'!$E$10/LN($C$3/$C$2)</f>
        <v>4.19829126836701E-16</v>
      </c>
      <c r="AE142" s="52">
        <f>8.686*AD142*'Enter data'!$C$45/2</f>
        <v>1.3691559855720513E-13</v>
      </c>
      <c r="AF142" s="58">
        <f aca="true" t="shared" si="45" ref="AF142:AF157">AE142/3.2808</f>
        <v>4.17323819060001E-14</v>
      </c>
      <c r="AH142" s="8">
        <f t="shared" si="39"/>
        <v>1.1304998964706892</v>
      </c>
      <c r="AI142" s="58">
        <f aca="true" t="shared" si="46" ref="AI142:AI157">AH142/3.2808</f>
        <v>0.34458055854385794</v>
      </c>
    </row>
    <row r="143" spans="4:35" ht="12.75">
      <c r="D143" s="8">
        <f>D142*'Enter data'!$C$74</f>
        <v>2701492521.4278536</v>
      </c>
      <c r="E143" s="36">
        <f t="shared" si="40"/>
        <v>2.701492521427854</v>
      </c>
      <c r="G143" s="8">
        <f aca="true" t="shared" si="47" ref="G143:G156">(C$5/(PI()*D143*H$5))^0.5</f>
        <v>1.5763083779560777E-06</v>
      </c>
      <c r="H143" s="8">
        <f aca="true" t="shared" si="48" ref="H143:H156">(C$6/(PI()*D143*H$6))^0.5</f>
        <v>1.2524667849080558E-06</v>
      </c>
      <c r="I143" s="8">
        <f t="shared" si="35"/>
        <v>2.2656699377712233E-08</v>
      </c>
      <c r="J143" s="8">
        <f t="shared" si="36"/>
        <v>4.017822756326676E-09</v>
      </c>
      <c r="K143" s="8">
        <f>'Enter data'!$C$83/D143</f>
        <v>0.1109728994702332</v>
      </c>
      <c r="L143" s="8"/>
      <c r="M143" s="8">
        <f>1+(2.7182818^(-G143/2/'Enter data'!C$31))^1.6</f>
        <v>1.9835870160650328</v>
      </c>
      <c r="N143" s="8">
        <f>1+(2.7182818^(-H143/2/'Enter data'!D$31))^1.6</f>
        <v>1.9613201601819772</v>
      </c>
      <c r="O143" s="8">
        <f t="shared" si="41"/>
        <v>4.602054372296024</v>
      </c>
      <c r="P143" s="8">
        <f t="shared" si="42"/>
        <v>16.01777362455283</v>
      </c>
      <c r="Q143" s="58">
        <f>8.686*O143/2/'Enter data'!C$45</f>
        <v>0.2661650577380161</v>
      </c>
      <c r="R143" s="58">
        <f>8.686*P143/2/'Enter data'!C$45</f>
        <v>0.9264061866106386</v>
      </c>
      <c r="S143" s="58">
        <f t="shared" si="43"/>
        <v>0.08112809611619606</v>
      </c>
      <c r="T143" s="58">
        <f t="shared" si="44"/>
        <v>0.28237203932292076</v>
      </c>
      <c r="U143" s="36">
        <f t="shared" si="37"/>
        <v>20.619827996848855</v>
      </c>
      <c r="V143" s="36">
        <f>U143/(2*'Enter data'!$C$45)</f>
        <v>0.13729809398441797</v>
      </c>
      <c r="W143" s="36">
        <f t="shared" si="38"/>
        <v>1.1925547685773763</v>
      </c>
      <c r="Y143" s="8"/>
      <c r="Z143" s="8">
        <f>4*PI()^2*D143*'Enter data'!$C$82*'Enter data'!$E$14*'Enter data'!$E$15/LN('Enter data'!$C$44)</f>
        <v>0.0001353418879688029</v>
      </c>
      <c r="AA143" s="58">
        <f>27.28753*'Enter data'!$E$14^0.5*'Enter data'!$E$15*D143/'Enter data'!$C$83</f>
        <v>0.04410690362236544</v>
      </c>
      <c r="AB143" s="58">
        <f aca="true" t="shared" si="49" ref="AB143:AB157">AA143/3.2808</f>
        <v>0.013443947702501048</v>
      </c>
      <c r="AD143" s="36">
        <f>2*PI()/'Enter data'!$E$10/LN($C$3/$C$2)</f>
        <v>4.19829126836701E-16</v>
      </c>
      <c r="AE143" s="52">
        <f>8.686*AD143*'Enter data'!$C$45/2</f>
        <v>1.3691559855720513E-13</v>
      </c>
      <c r="AF143" s="58">
        <f t="shared" si="45"/>
        <v>4.17323819060001E-14</v>
      </c>
      <c r="AH143" s="8">
        <f t="shared" si="39"/>
        <v>1.236678147971157</v>
      </c>
      <c r="AI143" s="58">
        <f t="shared" si="46"/>
        <v>0.37694408314165967</v>
      </c>
    </row>
    <row r="144" spans="4:35" ht="12.75">
      <c r="D144" s="8">
        <f>D143*'Enter data'!$C$74</f>
        <v>3196811119.2911425</v>
      </c>
      <c r="E144" s="36">
        <f t="shared" si="40"/>
        <v>3.1968111192911426</v>
      </c>
      <c r="G144" s="8">
        <f t="shared" si="47"/>
        <v>1.4490540333245934E-06</v>
      </c>
      <c r="H144" s="8">
        <f t="shared" si="48"/>
        <v>1.1513559603288961E-06</v>
      </c>
      <c r="I144" s="8">
        <f t="shared" si="35"/>
        <v>2.082648024232371E-08</v>
      </c>
      <c r="J144" s="8">
        <f t="shared" si="36"/>
        <v>3.6941980065870015E-09</v>
      </c>
      <c r="K144" s="8">
        <f>'Enter data'!$C$83/D144</f>
        <v>0.09377859586101404</v>
      </c>
      <c r="L144" s="8"/>
      <c r="M144" s="8">
        <f>1+(2.7182818^(-G144/2/'Enter data'!C$31))^1.6</f>
        <v>1.98490197005958</v>
      </c>
      <c r="N144" s="8">
        <f>1+(2.7182818^(-H144/2/'Enter data'!D$31))^1.6</f>
        <v>1.9643864533630557</v>
      </c>
      <c r="O144" s="8">
        <f t="shared" si="41"/>
        <v>5.013120234431442</v>
      </c>
      <c r="P144" s="8">
        <f t="shared" si="42"/>
        <v>17.47550088442566</v>
      </c>
      <c r="Q144" s="58">
        <f>8.686*O144/2/'Enter data'!C$45</f>
        <v>0.28993952020157326</v>
      </c>
      <c r="R144" s="58">
        <f>8.686*P144/2/'Enter data'!C$45</f>
        <v>1.010715503472698</v>
      </c>
      <c r="S144" s="58">
        <f t="shared" si="43"/>
        <v>0.08837464039306671</v>
      </c>
      <c r="T144" s="58">
        <f t="shared" si="44"/>
        <v>0.30806983158763046</v>
      </c>
      <c r="U144" s="36">
        <f t="shared" si="37"/>
        <v>22.488621118857104</v>
      </c>
      <c r="V144" s="36">
        <f>U144/(2*'Enter data'!$C$45)</f>
        <v>0.14974154083286567</v>
      </c>
      <c r="W144" s="36">
        <f t="shared" si="38"/>
        <v>1.300637054689371</v>
      </c>
      <c r="Y144" s="8"/>
      <c r="Z144" s="8">
        <f>4*PI()^2*D144*'Enter data'!$C$82*'Enter data'!$E$14*'Enter data'!$E$15/LN('Enter data'!$C$44)</f>
        <v>0.00016015682032532324</v>
      </c>
      <c r="AA144" s="58">
        <f>27.28753*'Enter data'!$E$14^0.5*'Enter data'!$E$15*D144/'Enter data'!$C$83</f>
        <v>0.05219390348819303</v>
      </c>
      <c r="AB144" s="58">
        <f t="shared" si="49"/>
        <v>0.015908895235367294</v>
      </c>
      <c r="AD144" s="36">
        <f>2*PI()/'Enter data'!$E$10/LN($C$3/$C$2)</f>
        <v>4.19829126836701E-16</v>
      </c>
      <c r="AE144" s="52">
        <f>8.686*AD144*'Enter data'!$C$45/2</f>
        <v>1.3691559855720513E-13</v>
      </c>
      <c r="AF144" s="58">
        <f t="shared" si="45"/>
        <v>4.17323819060001E-14</v>
      </c>
      <c r="AH144" s="8">
        <f t="shared" si="39"/>
        <v>1.3528489271626014</v>
      </c>
      <c r="AI144" s="58">
        <f t="shared" si="46"/>
        <v>0.4123533672161062</v>
      </c>
    </row>
    <row r="145" spans="4:35" ht="12.75">
      <c r="D145" s="8">
        <f>D144*'Enter data'!$C$74</f>
        <v>3782946371.815974</v>
      </c>
      <c r="E145" s="36">
        <f t="shared" si="40"/>
        <v>3.7829463718159744</v>
      </c>
      <c r="G145" s="8">
        <f t="shared" si="47"/>
        <v>1.3320728487257839E-06</v>
      </c>
      <c r="H145" s="8">
        <f t="shared" si="48"/>
        <v>1.0584077465033845E-06</v>
      </c>
      <c r="I145" s="8">
        <f t="shared" si="35"/>
        <v>1.9144193017631832E-08</v>
      </c>
      <c r="J145" s="8">
        <f t="shared" si="36"/>
        <v>3.3965859386969116E-09</v>
      </c>
      <c r="K145" s="8">
        <f>'Enter data'!$C$83/D145</f>
        <v>0.07924840284111322</v>
      </c>
      <c r="L145" s="8"/>
      <c r="M145" s="8">
        <f>1+(2.7182818^(-G145/2/'Enter data'!C$31))^1.6</f>
        <v>1.9861123194299204</v>
      </c>
      <c r="N145" s="8">
        <f>1+(2.7182818^(-H145/2/'Enter data'!D$31))^1.6</f>
        <v>1.967213833936679</v>
      </c>
      <c r="O145" s="8">
        <f t="shared" si="41"/>
        <v>5.460298940602736</v>
      </c>
      <c r="P145" s="8">
        <f t="shared" si="42"/>
        <v>19.06147365601578</v>
      </c>
      <c r="Q145" s="58">
        <f>8.686*O145/2/'Enter data'!C$45</f>
        <v>0.31580261014327493</v>
      </c>
      <c r="R145" s="58">
        <f>8.686*P145/2/'Enter data'!C$45</f>
        <v>1.1024420456149193</v>
      </c>
      <c r="S145" s="58">
        <f t="shared" si="43"/>
        <v>0.09625780606659197</v>
      </c>
      <c r="T145" s="58">
        <f t="shared" si="44"/>
        <v>0.3360284216090342</v>
      </c>
      <c r="U145" s="36">
        <f t="shared" si="37"/>
        <v>24.52177259661852</v>
      </c>
      <c r="V145" s="36">
        <f>U145/(2*'Enter data'!$C$45)</f>
        <v>0.16327937551901847</v>
      </c>
      <c r="W145" s="36">
        <f t="shared" si="38"/>
        <v>1.418225062233132</v>
      </c>
      <c r="Y145" s="8"/>
      <c r="Z145" s="8">
        <f>4*PI()^2*D145*'Enter data'!$C$82*'Enter data'!$E$14*'Enter data'!$E$15/LN('Enter data'!$C$44)</f>
        <v>0.00018952157001556232</v>
      </c>
      <c r="AA145" s="58">
        <f>27.28753*'Enter data'!$E$14^0.5*'Enter data'!$E$15*D145/'Enter data'!$C$83</f>
        <v>0.06176365461196048</v>
      </c>
      <c r="AB145" s="58">
        <f t="shared" si="49"/>
        <v>0.018825790847342257</v>
      </c>
      <c r="AD145" s="36">
        <f>2*PI()/'Enter data'!$E$10/LN($C$3/$C$2)</f>
        <v>4.19829126836701E-16</v>
      </c>
      <c r="AE145" s="52">
        <f>8.686*AD145*'Enter data'!$C$45/2</f>
        <v>1.3691559855720513E-13</v>
      </c>
      <c r="AF145" s="58">
        <f t="shared" si="45"/>
        <v>4.17323819060001E-14</v>
      </c>
      <c r="AH145" s="8">
        <f t="shared" si="39"/>
        <v>1.4800083103702917</v>
      </c>
      <c r="AI145" s="58">
        <f t="shared" si="46"/>
        <v>0.45111201852301014</v>
      </c>
    </row>
    <row r="146" spans="4:35" ht="12.75">
      <c r="D146" s="8">
        <f>D145*'Enter data'!$C$74</f>
        <v>4476549510.753979</v>
      </c>
      <c r="E146" s="36">
        <f t="shared" si="40"/>
        <v>4.476549510753979</v>
      </c>
      <c r="G146" s="8">
        <f t="shared" si="47"/>
        <v>1.2245354786676536E-06</v>
      </c>
      <c r="H146" s="8">
        <f t="shared" si="48"/>
        <v>9.7296318120277E-07</v>
      </c>
      <c r="I146" s="8">
        <f t="shared" si="35"/>
        <v>1.75978674426443E-08</v>
      </c>
      <c r="J146" s="8">
        <f t="shared" si="36"/>
        <v>3.1229041257765593E-09</v>
      </c>
      <c r="K146" s="8">
        <f>'Enter data'!$C$83/D146</f>
        <v>0.06696953921313972</v>
      </c>
      <c r="L146" s="8"/>
      <c r="M146" s="8">
        <f>1+(2.7182818^(-G146/2/'Enter data'!C$31))^1.6</f>
        <v>1.987226270177417</v>
      </c>
      <c r="N146" s="8">
        <f>1+(2.7182818^(-H146/2/'Enter data'!D$31))^1.6</f>
        <v>1.9698202738688242</v>
      </c>
      <c r="O146" s="8">
        <f t="shared" si="41"/>
        <v>5.946760818405225</v>
      </c>
      <c r="P146" s="8">
        <f t="shared" si="42"/>
        <v>20.786936794178306</v>
      </c>
      <c r="Q146" s="58">
        <f>8.686*O146/2/'Enter data'!C$45</f>
        <v>0.3439376870715478</v>
      </c>
      <c r="R146" s="58">
        <f>8.686*P146/2/'Enter data'!C$45</f>
        <v>1.202236172029101</v>
      </c>
      <c r="S146" s="58">
        <f t="shared" si="43"/>
        <v>0.1048334817945464</v>
      </c>
      <c r="T146" s="58">
        <f t="shared" si="44"/>
        <v>0.3664460412183312</v>
      </c>
      <c r="U146" s="36">
        <f t="shared" si="37"/>
        <v>26.73369761258353</v>
      </c>
      <c r="V146" s="36">
        <f>U146/(2*'Enter data'!$C$45)</f>
        <v>0.17800758221283086</v>
      </c>
      <c r="W146" s="36">
        <f t="shared" si="38"/>
        <v>1.5461524981907833</v>
      </c>
      <c r="Y146" s="8"/>
      <c r="Z146" s="8">
        <f>4*PI()^2*D146*'Enter data'!$C$82*'Enter data'!$E$14*'Enter data'!$E$15/LN('Enter data'!$C$44)</f>
        <v>0.00022427034595344324</v>
      </c>
      <c r="AA146" s="58">
        <f>27.28753*'Enter data'!$E$14^0.5*'Enter data'!$E$15*D146/'Enter data'!$C$83</f>
        <v>0.07308801940610737</v>
      </c>
      <c r="AB146" s="58">
        <f t="shared" si="49"/>
        <v>0.02227749920937191</v>
      </c>
      <c r="AD146" s="36">
        <f>2*PI()/'Enter data'!$E$10/LN($C$3/$C$2)</f>
        <v>4.19829126836701E-16</v>
      </c>
      <c r="AE146" s="52">
        <f>8.686*AD146*'Enter data'!$C$45/2</f>
        <v>1.3691559855720513E-13</v>
      </c>
      <c r="AF146" s="58">
        <f t="shared" si="45"/>
        <v>4.17323819060001E-14</v>
      </c>
      <c r="AH146" s="8">
        <f t="shared" si="39"/>
        <v>1.6192618785068933</v>
      </c>
      <c r="AI146" s="58">
        <f t="shared" si="46"/>
        <v>0.49355702222229125</v>
      </c>
    </row>
    <row r="147" spans="4:35" ht="12.75">
      <c r="D147" s="8">
        <f>D146*'Enter data'!$C$74</f>
        <v>5297324770.853646</v>
      </c>
      <c r="E147" s="36">
        <f t="shared" si="40"/>
        <v>5.297324770853646</v>
      </c>
      <c r="G147" s="8">
        <f t="shared" si="47"/>
        <v>1.1256795301774815E-06</v>
      </c>
      <c r="H147" s="8">
        <f t="shared" si="48"/>
        <v>8.944164997881435E-07</v>
      </c>
      <c r="I147" s="8">
        <f t="shared" si="35"/>
        <v>1.617650391734197E-08</v>
      </c>
      <c r="J147" s="8">
        <f t="shared" si="36"/>
        <v>2.8712355331472384E-09</v>
      </c>
      <c r="K147" s="8">
        <f>'Enter data'!$C$83/D147</f>
        <v>0.05659318070311355</v>
      </c>
      <c r="L147" s="8"/>
      <c r="M147" s="8">
        <f>1+(2.7182818^(-G147/2/'Enter data'!C$31))^1.6</f>
        <v>1.9882514024581281</v>
      </c>
      <c r="N147" s="8">
        <f>1+(2.7182818^(-H147/2/'Enter data'!D$31))^1.6</f>
        <v>1.9722224933197223</v>
      </c>
      <c r="O147" s="8">
        <f t="shared" si="41"/>
        <v>6.475954691988614</v>
      </c>
      <c r="P147" s="8">
        <f t="shared" si="42"/>
        <v>22.664123928654114</v>
      </c>
      <c r="Q147" s="58">
        <f>8.686*O147/2/'Enter data'!C$45</f>
        <v>0.3745442176603322</v>
      </c>
      <c r="R147" s="58">
        <f>8.686*P147/2/'Enter data'!C$45</f>
        <v>1.3108054286290698</v>
      </c>
      <c r="S147" s="58">
        <f t="shared" si="43"/>
        <v>0.11416246575845287</v>
      </c>
      <c r="T147" s="58">
        <f t="shared" si="44"/>
        <v>0.39953835303251334</v>
      </c>
      <c r="U147" s="36">
        <f t="shared" si="37"/>
        <v>29.140078620642726</v>
      </c>
      <c r="V147" s="36">
        <f>U147/(2*'Enter data'!$C$45)</f>
        <v>0.19403058327071168</v>
      </c>
      <c r="W147" s="36">
        <f t="shared" si="38"/>
        <v>1.685326362619409</v>
      </c>
      <c r="Y147" s="8"/>
      <c r="Z147" s="8">
        <f>4*PI()^2*D147*'Enter data'!$C$82*'Enter data'!$E$14*'Enter data'!$E$15/LN('Enter data'!$C$44)</f>
        <v>0.0002653903092399827</v>
      </c>
      <c r="AA147" s="58">
        <f>27.28753*'Enter data'!$E$14^0.5*'Enter data'!$E$15*D147/'Enter data'!$C$83</f>
        <v>0.08648870625076456</v>
      </c>
      <c r="AB147" s="58">
        <f t="shared" si="49"/>
        <v>0.02636207822810429</v>
      </c>
      <c r="AD147" s="36">
        <f>2*PI()/'Enter data'!$E$10/LN($C$3/$C$2)</f>
        <v>4.19829126836701E-16</v>
      </c>
      <c r="AE147" s="52">
        <f>8.686*AD147*'Enter data'!$C$45/2</f>
        <v>1.3691559855720513E-13</v>
      </c>
      <c r="AF147" s="58">
        <f t="shared" si="45"/>
        <v>4.17323819060001E-14</v>
      </c>
      <c r="AH147" s="8">
        <f t="shared" si="39"/>
        <v>1.7718383525403036</v>
      </c>
      <c r="AI147" s="58">
        <f t="shared" si="46"/>
        <v>0.5400628970191123</v>
      </c>
    </row>
    <row r="148" spans="4:35" ht="12.75">
      <c r="D148" s="8">
        <f>D147*'Enter data'!$C$74</f>
        <v>6268589157.896581</v>
      </c>
      <c r="E148" s="36">
        <f t="shared" si="40"/>
        <v>6.268589157896581</v>
      </c>
      <c r="G148" s="8">
        <f t="shared" si="47"/>
        <v>1.0348041577687182E-06</v>
      </c>
      <c r="H148" s="8">
        <f t="shared" si="48"/>
        <v>8.222108406037974E-07</v>
      </c>
      <c r="I148" s="8">
        <f t="shared" si="35"/>
        <v>1.4869994474112825E-08</v>
      </c>
      <c r="J148" s="8">
        <f t="shared" si="36"/>
        <v>2.639815587885551E-09</v>
      </c>
      <c r="K148" s="8">
        <f>'Enter data'!$C$83/D148</f>
        <v>0.047824550381061356</v>
      </c>
      <c r="L148" s="8"/>
      <c r="M148" s="8">
        <f>1+(2.7182818^(-G148/2/'Enter data'!C$31))^1.6</f>
        <v>1.9891947155125973</v>
      </c>
      <c r="N148" s="8">
        <f>1+(2.7182818^(-H148/2/'Enter data'!D$31))^1.6</f>
        <v>1.9744360319018976</v>
      </c>
      <c r="O148" s="8">
        <f t="shared" si="41"/>
        <v>7.051632333318131</v>
      </c>
      <c r="P148" s="8">
        <f t="shared" si="42"/>
        <v>24.706344217617648</v>
      </c>
      <c r="Q148" s="58">
        <f>8.686*O148/2/'Enter data'!C$45</f>
        <v>0.4078391899156274</v>
      </c>
      <c r="R148" s="58">
        <f>8.686*P148/2/'Enter data'!C$45</f>
        <v>1.4289195657409557</v>
      </c>
      <c r="S148" s="58">
        <f t="shared" si="43"/>
        <v>0.12431089670678717</v>
      </c>
      <c r="T148" s="58">
        <f t="shared" si="44"/>
        <v>0.43553997980399767</v>
      </c>
      <c r="U148" s="36">
        <f t="shared" si="37"/>
        <v>31.75797655093578</v>
      </c>
      <c r="V148" s="36">
        <f>U148/(2*'Enter data'!$C$45)</f>
        <v>0.2114619796979718</v>
      </c>
      <c r="W148" s="36">
        <f t="shared" si="38"/>
        <v>1.8367333802190193</v>
      </c>
      <c r="Y148" s="8"/>
      <c r="Z148" s="8">
        <f>4*PI()^2*D148*'Enter data'!$C$82*'Enter data'!$E$14*'Enter data'!$E$15/LN('Enter data'!$C$44)</f>
        <v>0.00031404961694362737</v>
      </c>
      <c r="AA148" s="58">
        <f>27.28753*'Enter data'!$E$14^0.5*'Enter data'!$E$15*D148/'Enter data'!$C$83</f>
        <v>0.1023464087508981</v>
      </c>
      <c r="AB148" s="58">
        <f t="shared" si="49"/>
        <v>0.031195564725340796</v>
      </c>
      <c r="AD148" s="36">
        <f>2*PI()/'Enter data'!$E$10/LN($C$3/$C$2)</f>
        <v>4.19829126836701E-16</v>
      </c>
      <c r="AE148" s="52">
        <f>8.686*AD148*'Enter data'!$C$45/2</f>
        <v>1.3691559855720513E-13</v>
      </c>
      <c r="AF148" s="58">
        <f t="shared" si="45"/>
        <v>4.17323819060001E-14</v>
      </c>
      <c r="AH148" s="8">
        <f t="shared" si="39"/>
        <v>1.9391051644076183</v>
      </c>
      <c r="AI148" s="58">
        <f t="shared" si="46"/>
        <v>0.5910464412361675</v>
      </c>
    </row>
    <row r="149" spans="4:35" ht="12.75">
      <c r="D149" s="8">
        <f>D148*'Enter data'!$C$74</f>
        <v>7417934850.191613</v>
      </c>
      <c r="E149" s="36">
        <f t="shared" si="40"/>
        <v>7.417934850191613</v>
      </c>
      <c r="G149" s="8">
        <f t="shared" si="47"/>
        <v>9.512650947526726E-07</v>
      </c>
      <c r="H149" s="8">
        <f t="shared" si="48"/>
        <v>7.55834297071366E-07</v>
      </c>
      <c r="I149" s="8">
        <f t="shared" si="35"/>
        <v>1.366905023257105E-08</v>
      </c>
      <c r="J149" s="8">
        <f t="shared" si="36"/>
        <v>2.427020226927131E-09</v>
      </c>
      <c r="K149" s="8">
        <f>'Enter data'!$C$83/D149</f>
        <v>0.04041454448636146</v>
      </c>
      <c r="L149" s="8"/>
      <c r="M149" s="8">
        <f>1+(2.7182818^(-G149/2/'Enter data'!C$31))^1.6</f>
        <v>1.9900626698176267</v>
      </c>
      <c r="N149" s="8">
        <f>1+(2.7182818^(-H149/2/'Enter data'!D$31))^1.6</f>
        <v>1.976475318573753</v>
      </c>
      <c r="O149" s="8">
        <f t="shared" si="41"/>
        <v>7.677875061111966</v>
      </c>
      <c r="P149" s="8">
        <f t="shared" si="42"/>
        <v>26.928076722972243</v>
      </c>
      <c r="Q149" s="58">
        <f>8.686*O149/2/'Enter data'!C$45</f>
        <v>0.4440586515553424</v>
      </c>
      <c r="R149" s="58">
        <f>8.686*P149/2/'Enter data'!C$45</f>
        <v>1.5574159964059202</v>
      </c>
      <c r="S149" s="58">
        <f t="shared" si="43"/>
        <v>0.13535072285885832</v>
      </c>
      <c r="T149" s="58">
        <f t="shared" si="44"/>
        <v>0.47470616813152894</v>
      </c>
      <c r="U149" s="36">
        <f t="shared" si="37"/>
        <v>34.60595178408421</v>
      </c>
      <c r="V149" s="36">
        <f>U149/(2*'Enter data'!$C$45)</f>
        <v>0.23042535666143943</v>
      </c>
      <c r="W149" s="36">
        <f t="shared" si="38"/>
        <v>2.0014469969184634</v>
      </c>
      <c r="Y149" s="8"/>
      <c r="Z149" s="8">
        <f>4*PI()^2*D149*'Enter data'!$C$82*'Enter data'!$E$14*'Enter data'!$E$15/LN('Enter data'!$C$44)</f>
        <v>0.00037163060770713436</v>
      </c>
      <c r="AA149" s="58">
        <f>27.28753*'Enter data'!$E$14^0.5*'Enter data'!$E$15*D149/'Enter data'!$C$83</f>
        <v>0.12111162067606156</v>
      </c>
      <c r="AB149" s="58">
        <f t="shared" si="49"/>
        <v>0.03691527087175736</v>
      </c>
      <c r="AD149" s="36">
        <f>2*PI()/'Enter data'!$E$10/LN($C$3/$C$2)</f>
        <v>4.19829126836701E-16</v>
      </c>
      <c r="AE149" s="52">
        <f>8.686*AD149*'Enter data'!$C$45/2</f>
        <v>1.3691559855720513E-13</v>
      </c>
      <c r="AF149" s="58">
        <f t="shared" si="45"/>
        <v>4.17323819060001E-14</v>
      </c>
      <c r="AH149" s="8">
        <f t="shared" si="39"/>
        <v>2.122586268637461</v>
      </c>
      <c r="AI149" s="58">
        <f t="shared" si="46"/>
        <v>0.6469721618621863</v>
      </c>
    </row>
    <row r="150" spans="4:35" ht="12.75">
      <c r="D150" s="8">
        <f>D149*'Enter data'!$C$74</f>
        <v>8778013051.36914</v>
      </c>
      <c r="E150" s="36">
        <f t="shared" si="40"/>
        <v>8.778013051369141</v>
      </c>
      <c r="G150" s="8">
        <f t="shared" si="47"/>
        <v>8.744700856691574E-07</v>
      </c>
      <c r="H150" s="8">
        <f t="shared" si="48"/>
        <v>6.948162884958286E-07</v>
      </c>
      <c r="I150" s="8">
        <f t="shared" si="35"/>
        <v>1.2565134798331375E-08</v>
      </c>
      <c r="J150" s="8">
        <f t="shared" si="36"/>
        <v>2.2313548548425528E-09</v>
      </c>
      <c r="K150" s="8">
        <f>'Enter data'!$C$83/D150</f>
        <v>0.03415265575997751</v>
      </c>
      <c r="L150" s="8"/>
      <c r="M150" s="8">
        <f>1+(2.7182818^(-G150/2/'Enter data'!C$31))^1.6</f>
        <v>1.990861226556643</v>
      </c>
      <c r="N150" s="8">
        <f>1+(2.7182818^(-H150/2/'Enter data'!D$31))^1.6</f>
        <v>1.9783537396489819</v>
      </c>
      <c r="O150" s="8">
        <f t="shared" si="41"/>
        <v>8.359122676043532</v>
      </c>
      <c r="P150" s="8">
        <f t="shared" si="42"/>
        <v>29.34507307693727</v>
      </c>
      <c r="Q150" s="58">
        <f>8.686*O150/2/'Enter data'!C$45</f>
        <v>0.483459383509685</v>
      </c>
      <c r="R150" s="58">
        <f>8.686*P150/2/'Enter data'!C$45</f>
        <v>1.6972057342191904</v>
      </c>
      <c r="S150" s="58">
        <f t="shared" si="43"/>
        <v>0.14736021199392982</v>
      </c>
      <c r="T150" s="58">
        <f t="shared" si="44"/>
        <v>0.517314598335525</v>
      </c>
      <c r="U150" s="36">
        <f t="shared" si="37"/>
        <v>37.7041957529808</v>
      </c>
      <c r="V150" s="36">
        <f>U150/(2*'Enter data'!$C$45)</f>
        <v>0.2510551597661611</v>
      </c>
      <c r="W150" s="36">
        <f t="shared" si="38"/>
        <v>2.180634991109703</v>
      </c>
      <c r="Y150" s="8"/>
      <c r="Z150" s="8">
        <f>4*PI()^2*D150*'Enter data'!$C$82*'Enter data'!$E$14*'Enter data'!$E$15/LN('Enter data'!$C$44)</f>
        <v>0.000439769071934786</v>
      </c>
      <c r="AA150" s="58">
        <f>27.28753*'Enter data'!$E$14^0.5*'Enter data'!$E$15*D150/'Enter data'!$C$83</f>
        <v>0.14331743381912765</v>
      </c>
      <c r="AB150" s="58">
        <f t="shared" si="49"/>
        <v>0.04368368502167997</v>
      </c>
      <c r="AD150" s="36">
        <f>2*PI()/'Enter data'!$E$10/LN($C$3/$C$2)</f>
        <v>4.19829126836701E-16</v>
      </c>
      <c r="AE150" s="52">
        <f>8.686*AD150*'Enter data'!$C$45/2</f>
        <v>1.3691559855720513E-13</v>
      </c>
      <c r="AF150" s="58">
        <f t="shared" si="45"/>
        <v>4.17323819060001E-14</v>
      </c>
      <c r="AH150" s="8">
        <f t="shared" si="39"/>
        <v>2.3239825515481396</v>
      </c>
      <c r="AI150" s="58">
        <f t="shared" si="46"/>
        <v>0.7083584953511763</v>
      </c>
    </row>
    <row r="151" spans="4:35" ht="12.75">
      <c r="D151" s="8">
        <f>D150*'Enter data'!$C$74</f>
        <v>10387461562.569075</v>
      </c>
      <c r="E151" s="36">
        <f t="shared" si="40"/>
        <v>10.387461562569074</v>
      </c>
      <c r="G151" s="8">
        <f t="shared" si="47"/>
        <v>8.038746874540202E-07</v>
      </c>
      <c r="H151" s="8">
        <f t="shared" si="48"/>
        <v>6.387242238539692E-07</v>
      </c>
      <c r="I151" s="8">
        <f t="shared" si="35"/>
        <v>1.15504031123406E-08</v>
      </c>
      <c r="J151" s="8">
        <f t="shared" si="36"/>
        <v>2.0514441464004295E-09</v>
      </c>
      <c r="K151" s="8">
        <f>'Enter data'!$C$83/D151</f>
        <v>0.02886099324596239</v>
      </c>
      <c r="L151" s="8"/>
      <c r="M151" s="8">
        <f>1+(2.7182818^(-G151/2/'Enter data'!C$31))^1.6</f>
        <v>1.9915958845163748</v>
      </c>
      <c r="N151" s="8">
        <f>1+(2.7182818^(-H151/2/'Enter data'!D$31))^1.6</f>
        <v>1.9800837045307704</v>
      </c>
      <c r="O151" s="8">
        <f t="shared" si="41"/>
        <v>9.100204937358065</v>
      </c>
      <c r="P151" s="8">
        <f t="shared" si="42"/>
        <v>31.974469168190325</v>
      </c>
      <c r="Q151" s="58">
        <f>8.686*O151/2/'Enter data'!C$45</f>
        <v>0.5263207204071435</v>
      </c>
      <c r="R151" s="58">
        <f>8.686*P151/2/'Enter data'!C$45</f>
        <v>1.8492798528253378</v>
      </c>
      <c r="S151" s="58">
        <f t="shared" si="43"/>
        <v>0.16042450634209446</v>
      </c>
      <c r="T151" s="58">
        <f t="shared" si="44"/>
        <v>0.5636673533361795</v>
      </c>
      <c r="U151" s="36">
        <f t="shared" si="37"/>
        <v>41.07467410554839</v>
      </c>
      <c r="V151" s="36">
        <f>U151/(2*'Enter data'!$C$45)</f>
        <v>0.273497648311361</v>
      </c>
      <c r="W151" s="36">
        <f t="shared" si="38"/>
        <v>2.3755677535146837</v>
      </c>
      <c r="Y151" s="8"/>
      <c r="Z151" s="8">
        <f>4*PI()^2*D151*'Enter data'!$C$82*'Enter data'!$E$14*'Enter data'!$E$15/LN('Enter data'!$C$44)</f>
        <v>0.0005204007221676164</v>
      </c>
      <c r="AA151" s="58">
        <f>27.28753*'Enter data'!$E$14^0.5*'Enter data'!$E$15*D151/'Enter data'!$C$83</f>
        <v>0.16959468234215333</v>
      </c>
      <c r="AB151" s="58">
        <f t="shared" si="49"/>
        <v>0.05169308776583557</v>
      </c>
      <c r="AD151" s="36">
        <f>2*PI()/'Enter data'!$E$10/LN($C$3/$C$2)</f>
        <v>4.19829126836701E-16</v>
      </c>
      <c r="AE151" s="52">
        <f>8.686*AD151*'Enter data'!$C$45/2</f>
        <v>1.3691559855720513E-13</v>
      </c>
      <c r="AF151" s="58">
        <f t="shared" si="45"/>
        <v>4.17323819060001E-14</v>
      </c>
      <c r="AH151" s="8">
        <f t="shared" si="39"/>
        <v>2.5451952555747717</v>
      </c>
      <c r="AI151" s="58">
        <f t="shared" si="46"/>
        <v>0.7757849474441513</v>
      </c>
    </row>
    <row r="152" spans="4:35" ht="12.75">
      <c r="D152" s="8">
        <f>D151*'Enter data'!$C$74</f>
        <v>12292002424.970247</v>
      </c>
      <c r="E152" s="36">
        <f t="shared" si="40"/>
        <v>12.292002424970248</v>
      </c>
      <c r="G152" s="8">
        <f t="shared" si="47"/>
        <v>7.389784095756753E-07</v>
      </c>
      <c r="H152" s="8">
        <f t="shared" si="48"/>
        <v>5.871604349130116E-07</v>
      </c>
      <c r="I152" s="8">
        <f t="shared" si="35"/>
        <v>1.0617645299298687E-08</v>
      </c>
      <c r="J152" s="8">
        <f t="shared" si="36"/>
        <v>1.8860226329457113E-09</v>
      </c>
      <c r="K152" s="8">
        <f>'Enter data'!$C$83/D152</f>
        <v>0.024389228673677685</v>
      </c>
      <c r="L152" s="8"/>
      <c r="M152" s="8">
        <f>1+(2.7182818^(-G152/2/'Enter data'!C$31))^1.6</f>
        <v>1.9922717145250517</v>
      </c>
      <c r="N152" s="8">
        <f>1+(2.7182818^(-H152/2/'Enter data'!D$31))^1.6</f>
        <v>1.9816767088869507</v>
      </c>
      <c r="O152" s="8">
        <f t="shared" si="41"/>
        <v>9.906375804069013</v>
      </c>
      <c r="P152" s="8">
        <f t="shared" si="42"/>
        <v>34.83490663971755</v>
      </c>
      <c r="Q152" s="58">
        <f>8.686*O152/2/'Enter data'!C$45</f>
        <v>0.5729465309530916</v>
      </c>
      <c r="R152" s="58">
        <f>8.686*P152/2/'Enter data'!C$45</f>
        <v>2.014716512884872</v>
      </c>
      <c r="S152" s="58">
        <f t="shared" si="43"/>
        <v>0.17463622621101302</v>
      </c>
      <c r="T152" s="58">
        <f t="shared" si="44"/>
        <v>0.6140930604989245</v>
      </c>
      <c r="U152" s="36">
        <f t="shared" si="37"/>
        <v>44.74128244378657</v>
      </c>
      <c r="V152" s="36">
        <f>U152/(2*'Enter data'!$C$45)</f>
        <v>0.29791193228620344</v>
      </c>
      <c r="W152" s="36">
        <f t="shared" si="38"/>
        <v>2.5876272944060883</v>
      </c>
      <c r="Y152" s="8"/>
      <c r="Z152" s="8">
        <f>4*PI()^2*D152*'Enter data'!$C$82*'Enter data'!$E$14*'Enter data'!$E$15/LN('Enter data'!$C$44)</f>
        <v>0.0006158161838009759</v>
      </c>
      <c r="AA152" s="58">
        <f>27.28753*'Enter data'!$E$14^0.5*'Enter data'!$E$15*D152/'Enter data'!$C$83</f>
        <v>0.20068986383774598</v>
      </c>
      <c r="AB152" s="58">
        <f t="shared" si="49"/>
        <v>0.06117101433727931</v>
      </c>
      <c r="AD152" s="36">
        <f>2*PI()/'Enter data'!$E$10/LN($C$3/$C$2)</f>
        <v>4.19829126836701E-16</v>
      </c>
      <c r="AE152" s="52">
        <f>8.686*AD152*'Enter data'!$C$45/2</f>
        <v>1.3691559855720513E-13</v>
      </c>
      <c r="AF152" s="58">
        <f t="shared" si="45"/>
        <v>4.17323819060001E-14</v>
      </c>
      <c r="AH152" s="8">
        <f t="shared" si="39"/>
        <v>2.788352907675846</v>
      </c>
      <c r="AI152" s="58">
        <f t="shared" si="46"/>
        <v>0.8499003010472587</v>
      </c>
    </row>
    <row r="153" spans="4:35" ht="12.75">
      <c r="D153" s="8">
        <f>D152*'Enter data'!$C$74</f>
        <v>14545740815.054852</v>
      </c>
      <c r="E153" s="36">
        <f t="shared" si="40"/>
        <v>14.545740815054852</v>
      </c>
      <c r="G153" s="8">
        <f t="shared" si="47"/>
        <v>6.793211657758906E-07</v>
      </c>
      <c r="H153" s="8">
        <f t="shared" si="48"/>
        <v>5.397593569365839E-07</v>
      </c>
      <c r="I153" s="8">
        <f t="shared" si="35"/>
        <v>9.76023510192226E-09</v>
      </c>
      <c r="J153" s="8">
        <f t="shared" si="36"/>
        <v>1.7339260154236786E-09</v>
      </c>
      <c r="K153" s="8">
        <f>'Enter data'!$C$83/D153</f>
        <v>0.020610325854955053</v>
      </c>
      <c r="L153" s="8"/>
      <c r="M153" s="8">
        <f>1+(2.7182818^(-G153/2/'Enter data'!C$31))^1.6</f>
        <v>1.992893391551848</v>
      </c>
      <c r="N153" s="8">
        <f>1+(2.7182818^(-H153/2/'Enter data'!D$31))^1.6</f>
        <v>1.983143395070941</v>
      </c>
      <c r="O153" s="8">
        <f t="shared" si="41"/>
        <v>10.783350683497758</v>
      </c>
      <c r="P153" s="8">
        <f t="shared" si="42"/>
        <v>37.94666506003755</v>
      </c>
      <c r="Q153" s="58">
        <f>8.686*O153/2/'Enter data'!C$45</f>
        <v>0.6236673722415194</v>
      </c>
      <c r="R153" s="58">
        <f>8.686*P153/2/'Enter data'!C$45</f>
        <v>2.194688606347559</v>
      </c>
      <c r="S153" s="58">
        <f t="shared" si="43"/>
        <v>0.1900961266281149</v>
      </c>
      <c r="T153" s="58">
        <f t="shared" si="44"/>
        <v>0.6689492216372711</v>
      </c>
      <c r="U153" s="36">
        <f t="shared" si="37"/>
        <v>48.73001574353531</v>
      </c>
      <c r="V153" s="36">
        <f>U153/(2*'Enter data'!$C$45)</f>
        <v>0.3244711004592538</v>
      </c>
      <c r="W153" s="36">
        <f t="shared" si="38"/>
        <v>2.818317042057023</v>
      </c>
      <c r="Y153" s="8"/>
      <c r="Z153" s="8">
        <f>4*PI()^2*D153*'Enter data'!$C$82*'Enter data'!$E$14*'Enter data'!$E$15/LN('Enter data'!$C$44)</f>
        <v>0.0007287260683490189</v>
      </c>
      <c r="AA153" s="58">
        <f>27.28753*'Enter data'!$E$14^0.5*'Enter data'!$E$15*D153/'Enter data'!$C$83</f>
        <v>0.2374863462166595</v>
      </c>
      <c r="AB153" s="58">
        <f t="shared" si="49"/>
        <v>0.07238671854933537</v>
      </c>
      <c r="AD153" s="36">
        <f>2*PI()/'Enter data'!$E$10/LN($C$3/$C$2)</f>
        <v>4.19829126836701E-16</v>
      </c>
      <c r="AE153" s="52">
        <f>8.686*AD153*'Enter data'!$C$45/2</f>
        <v>1.3691559855720513E-13</v>
      </c>
      <c r="AF153" s="58">
        <f t="shared" si="45"/>
        <v>4.17323819060001E-14</v>
      </c>
      <c r="AH153" s="8">
        <f t="shared" si="39"/>
        <v>3.055842324805875</v>
      </c>
      <c r="AI153" s="58">
        <f t="shared" si="46"/>
        <v>0.9314320668147631</v>
      </c>
    </row>
    <row r="154" spans="4:35" ht="12.75">
      <c r="D154" s="8">
        <f>D153*'Enter data'!$C$74</f>
        <v>17212702092.29272</v>
      </c>
      <c r="E154" s="36">
        <f t="shared" si="40"/>
        <v>17.21270209229272</v>
      </c>
      <c r="G154" s="8">
        <f t="shared" si="47"/>
        <v>6.244800122592178E-07</v>
      </c>
      <c r="H154" s="8">
        <f t="shared" si="48"/>
        <v>4.961849369904443E-07</v>
      </c>
      <c r="I154" s="8">
        <f t="shared" si="35"/>
        <v>8.972082522663406E-09</v>
      </c>
      <c r="J154" s="8">
        <f t="shared" si="36"/>
        <v>1.594083150549049E-09</v>
      </c>
      <c r="K154" s="8">
        <f>'Enter data'!$C$83/D154</f>
        <v>0.01741693177471753</v>
      </c>
      <c r="L154" s="8"/>
      <c r="M154" s="8">
        <f>1+(2.7182818^(-G154/2/'Enter data'!C$31))^1.6</f>
        <v>1.9934652245894187</v>
      </c>
      <c r="N154" s="8">
        <f>1+(2.7182818^(-H154/2/'Enter data'!D$31))^1.6</f>
        <v>1.9844936096660692</v>
      </c>
      <c r="O154" s="8">
        <f t="shared" si="41"/>
        <v>11.737346951239722</v>
      </c>
      <c r="P154" s="8">
        <f t="shared" si="42"/>
        <v>41.331805705092776</v>
      </c>
      <c r="Q154" s="58">
        <f>8.686*O154/2/'Enter data'!C$45</f>
        <v>0.6788428332734383</v>
      </c>
      <c r="R154" s="58">
        <f>8.686*P154/2/'Enter data'!C$45</f>
        <v>2.3904720722419235</v>
      </c>
      <c r="S154" s="58">
        <f t="shared" si="43"/>
        <v>0.20691381165369369</v>
      </c>
      <c r="T154" s="58">
        <f t="shared" si="44"/>
        <v>0.7286247476962703</v>
      </c>
      <c r="U154" s="36">
        <f t="shared" si="37"/>
        <v>53.0691526563325</v>
      </c>
      <c r="V154" s="36">
        <f>U154/(2*'Enter data'!$C$45)</f>
        <v>0.35336344756105936</v>
      </c>
      <c r="W154" s="36">
        <f t="shared" si="38"/>
        <v>3.069272501901654</v>
      </c>
      <c r="Y154" s="8"/>
      <c r="Z154" s="8">
        <f>4*PI()^2*D154*'Enter data'!$C$82*'Enter data'!$E$14*'Enter data'!$E$15/LN('Enter data'!$C$44)</f>
        <v>0.0008623379778908913</v>
      </c>
      <c r="AA154" s="58">
        <f>27.28753*'Enter data'!$E$14^0.5*'Enter data'!$E$15*D154/'Enter data'!$C$83</f>
        <v>0.2810294628777925</v>
      </c>
      <c r="AB154" s="58">
        <f t="shared" si="49"/>
        <v>0.08565882189642542</v>
      </c>
      <c r="AD154" s="36">
        <f>2*PI()/'Enter data'!$E$10/LN($C$3/$C$2)</f>
        <v>4.19829126836701E-16</v>
      </c>
      <c r="AE154" s="52">
        <f>8.686*AD154*'Enter data'!$C$45/2</f>
        <v>1.3691559855720513E-13</v>
      </c>
      <c r="AF154" s="58">
        <f t="shared" si="45"/>
        <v>4.17323819060001E-14</v>
      </c>
      <c r="AH154" s="8">
        <f t="shared" si="39"/>
        <v>3.3503443683932908</v>
      </c>
      <c r="AI154" s="58">
        <f t="shared" si="46"/>
        <v>1.021197381246431</v>
      </c>
    </row>
    <row r="155" spans="4:35" ht="12.75">
      <c r="D155" s="8">
        <f>D154*'Enter data'!$C$74</f>
        <v>20368650664.486694</v>
      </c>
      <c r="E155" s="36">
        <f t="shared" si="40"/>
        <v>20.368650664486694</v>
      </c>
      <c r="G155" s="8">
        <f t="shared" si="47"/>
        <v>5.740661492062599E-07</v>
      </c>
      <c r="H155" s="8">
        <f t="shared" si="48"/>
        <v>4.561282514739935E-07</v>
      </c>
      <c r="I155" s="8">
        <f t="shared" si="35"/>
        <v>8.24759032631025E-09</v>
      </c>
      <c r="J155" s="8">
        <f t="shared" si="36"/>
        <v>1.4655086601390599E-09</v>
      </c>
      <c r="K155" s="8">
        <f>'Enter data'!$C$83/D155</f>
        <v>0.014718326851306671</v>
      </c>
      <c r="L155" s="8"/>
      <c r="M155" s="8">
        <f>1+(2.7182818^(-G155/2/'Enter data'!C$31))^1.6</f>
        <v>1.9939911844416</v>
      </c>
      <c r="N155" s="8">
        <f>1+(2.7182818^(-H155/2/'Enter data'!D$31))^1.6</f>
        <v>1.9857364580900798</v>
      </c>
      <c r="O155" s="8">
        <f t="shared" si="41"/>
        <v>12.775128029831912</v>
      </c>
      <c r="P155" s="8">
        <f t="shared" si="42"/>
        <v>45.0143279703798</v>
      </c>
      <c r="Q155" s="58">
        <f>8.686*O155/2/'Enter data'!C$45</f>
        <v>0.7388640842968373</v>
      </c>
      <c r="R155" s="58">
        <f>8.686*P155/2/'Enter data'!C$45</f>
        <v>2.603454942948998</v>
      </c>
      <c r="S155" s="58">
        <f t="shared" si="43"/>
        <v>0.22520851142917497</v>
      </c>
      <c r="T155" s="58">
        <f t="shared" si="44"/>
        <v>0.7935427160902823</v>
      </c>
      <c r="U155" s="36">
        <f t="shared" si="37"/>
        <v>57.789456000211715</v>
      </c>
      <c r="V155" s="36">
        <f>U155/(2*'Enter data'!$C$45)</f>
        <v>0.3847938092615514</v>
      </c>
      <c r="W155" s="36">
        <f t="shared" si="38"/>
        <v>3.3422728519887235</v>
      </c>
      <c r="Y155" s="8"/>
      <c r="Z155" s="8">
        <f>4*PI()^2*D155*'Enter data'!$C$82*'Enter data'!$E$14*'Enter data'!$E$15/LN('Enter data'!$C$44)</f>
        <v>0.0010204476282805294</v>
      </c>
      <c r="AA155" s="58">
        <f>27.28753*'Enter data'!$E$14^0.5*'Enter data'!$E$15*D155/'Enter data'!$C$83</f>
        <v>0.3325562090770856</v>
      </c>
      <c r="AB155" s="58">
        <f t="shared" si="49"/>
        <v>0.10136436511737551</v>
      </c>
      <c r="AD155" s="36">
        <f>2*PI()/'Enter data'!$E$10/LN($C$3/$C$2)</f>
        <v>4.19829126836701E-16</v>
      </c>
      <c r="AE155" s="52">
        <f>8.686*AD155*'Enter data'!$C$45/2</f>
        <v>1.3691559855720513E-13</v>
      </c>
      <c r="AF155" s="58">
        <f t="shared" si="45"/>
        <v>4.17323819060001E-14</v>
      </c>
      <c r="AH155" s="8">
        <f t="shared" si="39"/>
        <v>3.674875236323058</v>
      </c>
      <c r="AI155" s="58">
        <f t="shared" si="46"/>
        <v>1.1201155926368744</v>
      </c>
    </row>
    <row r="156" spans="4:35" ht="12.75">
      <c r="D156" s="8">
        <f>D155*'Enter data'!$C$74</f>
        <v>24103242342.041386</v>
      </c>
      <c r="E156" s="36">
        <f t="shared" si="40"/>
        <v>24.103242342041387</v>
      </c>
      <c r="G156" s="8">
        <f t="shared" si="47"/>
        <v>5.277221643528101E-07</v>
      </c>
      <c r="H156" s="8">
        <f t="shared" si="48"/>
        <v>4.193053159869087E-07</v>
      </c>
      <c r="I156" s="8">
        <f t="shared" si="35"/>
        <v>7.581614085944902E-09</v>
      </c>
      <c r="J156" s="8">
        <f t="shared" si="36"/>
        <v>1.3472961169885538E-09</v>
      </c>
      <c r="K156" s="8">
        <f>'Enter data'!$C$83/D156</f>
        <v>0.012437847727942214</v>
      </c>
      <c r="L156" s="8"/>
      <c r="M156" s="8">
        <f>1+(2.7182818^(-G156/2/'Enter data'!C$31))^1.6</f>
        <v>1.9944749295370596</v>
      </c>
      <c r="N156" s="8">
        <f>1+(2.7182818^(-H156/2/'Enter data'!D$31))^1.6</f>
        <v>1.9868803562442927</v>
      </c>
      <c r="O156" s="8">
        <f t="shared" si="41"/>
        <v>13.904051338625512</v>
      </c>
      <c r="P156" s="8">
        <f t="shared" si="42"/>
        <v>49.020339522401926</v>
      </c>
      <c r="Q156" s="58">
        <f>8.686*O156/2/'Enter data'!C$45</f>
        <v>0.8041566500421933</v>
      </c>
      <c r="R156" s="58">
        <f>8.686*P156/2/'Enter data'!C$45</f>
        <v>2.8351471851054413</v>
      </c>
      <c r="S156" s="58">
        <f t="shared" si="43"/>
        <v>0.24510992746957852</v>
      </c>
      <c r="T156" s="58">
        <f t="shared" si="44"/>
        <v>0.8641633702467206</v>
      </c>
      <c r="U156" s="36">
        <f t="shared" si="37"/>
        <v>62.92439086102744</v>
      </c>
      <c r="V156" s="36">
        <f>U156/(2*'Enter data'!$C$45)</f>
        <v>0.4189850144079708</v>
      </c>
      <c r="W156" s="36">
        <f t="shared" si="38"/>
        <v>3.639253556945905</v>
      </c>
      <c r="Y156" s="8"/>
      <c r="Z156" s="8">
        <f>4*PI()^2*D156*'Enter data'!$C$82*'Enter data'!$E$14*'Enter data'!$E$15/LN('Enter data'!$C$44)</f>
        <v>0.0012075466797950903</v>
      </c>
      <c r="AA156" s="58">
        <f>27.28753*'Enter data'!$E$14^0.5*'Enter data'!$E$15*D156/'Enter data'!$C$83</f>
        <v>0.3935303831250414</v>
      </c>
      <c r="AB156" s="58">
        <f t="shared" si="49"/>
        <v>0.11994951936266807</v>
      </c>
      <c r="AD156" s="36">
        <f>2*PI()/'Enter data'!$E$10/LN($C$3/$C$2)</f>
        <v>4.19829126836701E-16</v>
      </c>
      <c r="AE156" s="52">
        <f>8.686*AD156*'Enter data'!$C$45/2</f>
        <v>1.3691559855720513E-13</v>
      </c>
      <c r="AF156" s="58">
        <f t="shared" si="45"/>
        <v>4.17323819060001E-14</v>
      </c>
      <c r="AH156" s="8">
        <f t="shared" si="39"/>
        <v>4.0328342182728125</v>
      </c>
      <c r="AI156" s="58">
        <f t="shared" si="46"/>
        <v>1.229222817079009</v>
      </c>
    </row>
    <row r="157" spans="4:35" ht="12.75">
      <c r="D157" s="8">
        <f>D156*'Enter data'!$C$74</f>
        <v>28522571326.342567</v>
      </c>
      <c r="E157" s="36">
        <f t="shared" si="40"/>
        <v>28.522571326342568</v>
      </c>
      <c r="G157" s="8">
        <f>(C$5/(PI()*D157*H$5))^0.5</f>
        <v>4.851194990930455E-07</v>
      </c>
      <c r="H157" s="8">
        <f>(C$6/(PI()*D157*H$6))^0.5</f>
        <v>3.854550720038128E-07</v>
      </c>
      <c r="I157" s="8">
        <f>2*PI()*G157*(C$3+G157-(C$4+G157)*EXP((C$3-C$4)/G157))</f>
        <v>6.969425481272326E-09</v>
      </c>
      <c r="J157" s="8">
        <f>2*PI()*H157*(C$2+H157*(EXP(-C$2/H157)-1))</f>
        <v>1.2386117638577854E-09</v>
      </c>
      <c r="K157" s="8">
        <f>'Enter data'!$C$83/D157</f>
        <v>0.010510709380648334</v>
      </c>
      <c r="L157" s="8"/>
      <c r="M157" s="8">
        <f>1+(2.7182818^(-G157/2/'Enter data'!C$31))^1.6</f>
        <v>1.9949198298872175</v>
      </c>
      <c r="N157" s="8">
        <f>1+(2.7182818^(-H157/2/'Enter data'!D$31))^1.6</f>
        <v>1.9879330792298044</v>
      </c>
      <c r="O157" s="8">
        <f t="shared" si="41"/>
        <v>15.132120454811721</v>
      </c>
      <c r="P157" s="8">
        <f t="shared" si="42"/>
        <v>53.37824139590587</v>
      </c>
      <c r="Q157" s="58">
        <f>8.686*O157/2/'Enter data'!C$45</f>
        <v>0.8751834265148272</v>
      </c>
      <c r="R157" s="58">
        <f>8.686*P157/2/'Enter data'!C$45</f>
        <v>3.0871914049131015</v>
      </c>
      <c r="S157" s="58">
        <f t="shared" si="43"/>
        <v>0.26675915219301</v>
      </c>
      <c r="T157" s="58">
        <f t="shared" si="44"/>
        <v>0.940987382624086</v>
      </c>
      <c r="U157" s="36">
        <f>O157+P157</f>
        <v>68.51036185071759</v>
      </c>
      <c r="V157" s="36">
        <f>U157/(2*'Enter data'!$C$45)</f>
        <v>0.4561794648201622</v>
      </c>
      <c r="W157" s="36">
        <f t="shared" si="38"/>
        <v>3.9623200898921502</v>
      </c>
      <c r="Y157" s="8"/>
      <c r="Z157" s="8">
        <f>4*PI()^2*D157*'Enter data'!$C$82*'Enter data'!$E$14*'Enter data'!$E$15/LN('Enter data'!$C$44)</f>
        <v>0.0014289503385305372</v>
      </c>
      <c r="AA157" s="58">
        <f>27.28753*'Enter data'!$E$14^0.5*'Enter data'!$E$15*D157/'Enter data'!$C$83</f>
        <v>0.4656841707220818</v>
      </c>
      <c r="AB157" s="58">
        <f t="shared" si="49"/>
        <v>0.14194226125398737</v>
      </c>
      <c r="AC157" s="8"/>
      <c r="AD157" s="36">
        <f>2*PI()/'Enter data'!$E$10/LN($C$3/$C$2)</f>
        <v>4.19829126836701E-16</v>
      </c>
      <c r="AE157" s="52">
        <f>8.686*AD157*'Enter data'!$C$45/2</f>
        <v>1.3691559855720513E-13</v>
      </c>
      <c r="AF157" s="58">
        <f t="shared" si="45"/>
        <v>4.17323819060001E-14</v>
      </c>
      <c r="AH157" s="8">
        <f t="shared" si="39"/>
        <v>4.428059002150148</v>
      </c>
      <c r="AI157" s="58">
        <f t="shared" si="46"/>
        <v>1.3496887960711252</v>
      </c>
    </row>
    <row r="158" spans="7:28" ht="12.75">
      <c r="G158" s="8"/>
      <c r="H158" s="8"/>
      <c r="I158" s="8"/>
      <c r="J158" s="8"/>
      <c r="K158" s="8"/>
      <c r="L158" s="8"/>
      <c r="M158" s="8"/>
      <c r="N158" s="8"/>
      <c r="O158" s="8"/>
      <c r="P158" s="8"/>
      <c r="Q158" s="58"/>
      <c r="R158" s="58"/>
      <c r="S158" s="58"/>
      <c r="T158" s="58"/>
      <c r="Y158" s="8"/>
      <c r="Z158" s="8"/>
      <c r="AA158" s="58"/>
      <c r="AB158" s="58"/>
    </row>
    <row r="159" spans="7:28" ht="12.75">
      <c r="G159" s="8"/>
      <c r="H159" s="8"/>
      <c r="I159" s="8"/>
      <c r="J159" s="8"/>
      <c r="K159" s="8"/>
      <c r="L159" s="8"/>
      <c r="M159" s="8"/>
      <c r="N159" s="8"/>
      <c r="O159" s="8"/>
      <c r="P159" s="8"/>
      <c r="Q159" s="58"/>
      <c r="R159" s="58"/>
      <c r="S159" s="58"/>
      <c r="T159" s="58"/>
      <c r="Y159" s="8"/>
      <c r="Z159" s="8"/>
      <c r="AA159" s="58"/>
      <c r="AB159" s="58"/>
    </row>
    <row r="160" spans="2:28" ht="12.75">
      <c r="B160" t="s">
        <v>253</v>
      </c>
      <c r="G160" s="8"/>
      <c r="H160" s="8"/>
      <c r="I160" s="8"/>
      <c r="J160" s="8"/>
      <c r="K160" s="8"/>
      <c r="L160" s="8"/>
      <c r="M160" s="8"/>
      <c r="N160" s="8"/>
      <c r="O160" s="8"/>
      <c r="P160" s="8"/>
      <c r="Q160" s="58"/>
      <c r="R160" s="58"/>
      <c r="S160" s="58"/>
      <c r="T160" s="58"/>
      <c r="Y160" s="8"/>
      <c r="Z160" s="8"/>
      <c r="AA160" s="58"/>
      <c r="AB160" s="58"/>
    </row>
    <row r="161" spans="4:35" ht="12.75">
      <c r="D161" s="53">
        <f>'Enter data'!C58</f>
        <v>10000000000</v>
      </c>
      <c r="E161" s="36">
        <f>D161/1000000000</f>
        <v>10</v>
      </c>
      <c r="G161" s="8">
        <f>(C$5/(PI()*D161*H$5))^0.5</f>
        <v>8.193002145919942E-07</v>
      </c>
      <c r="H161" s="8">
        <f>(C$6/(PI()*D161*H$6))^0.5</f>
        <v>6.509806837257752E-07</v>
      </c>
      <c r="I161" s="8">
        <f>2*PI()*G161*(C$3+G161-(C$4+G161)*EXP((C$3-C$4)/G161))</f>
        <v>1.1772122857140074E-08</v>
      </c>
      <c r="J161" s="8">
        <f>2*PI()*H161*(C$2+H161*(EXP(-C$2/H161)-1))</f>
        <v>2.0907591144999745E-09</v>
      </c>
      <c r="K161" s="8">
        <f>'Enter data'!$C$83/D161</f>
        <v>0.0299792458</v>
      </c>
      <c r="L161" s="8"/>
      <c r="M161" s="8">
        <f>1+(2.7182818^(-G161/2/'Enter data'!C$31))^1.6</f>
        <v>1.9914353107571567</v>
      </c>
      <c r="N161" s="8">
        <f>1+(2.7182818^(-H161/2/'Enter data'!D$31))^1.6</f>
        <v>1.979705435611029</v>
      </c>
      <c r="O161" s="8">
        <f>C$5/I161</f>
        <v>2.2510808221753407</v>
      </c>
      <c r="P161" s="8">
        <f>C$6/J161</f>
        <v>8.001878305335593</v>
      </c>
      <c r="Q161" s="58">
        <f>8.686*O161/2/'Enter data'!C$45</f>
        <v>0.13019382400480245</v>
      </c>
      <c r="R161" s="58">
        <f>8.686*P161/2/'Enter data'!C$45</f>
        <v>0.4627977483216113</v>
      </c>
      <c r="S161" s="58">
        <f>Q161/3.2808</f>
        <v>0.039683560108754706</v>
      </c>
      <c r="T161" s="58">
        <f>R161/3.2808</f>
        <v>0.14106246900805025</v>
      </c>
      <c r="U161" s="36">
        <f>O161+P161</f>
        <v>10.252959127510934</v>
      </c>
      <c r="V161" s="36">
        <f>U161/(2*'Enter data'!$C$45)</f>
        <v>0.06826981030697833</v>
      </c>
      <c r="W161" s="36">
        <f t="shared" si="38"/>
        <v>0.5929833799491769</v>
      </c>
      <c r="Y161" s="8"/>
      <c r="Z161" s="8">
        <f>4*PI()^2*D161*'Enter data'!$C$82*'Enter data'!$E$14*'Enter data'!$E$15/LN('Enter data'!$C$44)</f>
        <v>0.0005009893120017558</v>
      </c>
      <c r="AA161" s="58">
        <f>27.3*'Enter data'!$E$14^0.5*'Enter data'!$E$15*D161/'Enter data'!$C$83</f>
        <v>0.16334326110031835</v>
      </c>
      <c r="AB161" s="58">
        <f>AA161/3.2808</f>
        <v>0.04978763140097487</v>
      </c>
      <c r="AD161" s="36">
        <f>2*PI()/'Enter data'!$E$10/LN($C$3/$C$2)</f>
        <v>4.19829126836701E-16</v>
      </c>
      <c r="AE161" s="52">
        <f>8.686*AD161*'Enter data'!$C$45/2</f>
        <v>1.3691559855720513E-13</v>
      </c>
      <c r="AF161" s="58">
        <f>AE161/3.2808</f>
        <v>4.17323819060001E-14</v>
      </c>
      <c r="AH161" s="8">
        <f>Q161+R161+AA161+AE161</f>
        <v>0.756334833426869</v>
      </c>
      <c r="AI161" s="58">
        <f>AH161/3.2808</f>
        <v>0.23053366051782156</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3"/>
  <legacyDrawing r:id="rId2"/>
  <oleObjects>
    <oleObject progId="Microsoft Equation 3.0" shapeId="18214680" r:id="rId1"/>
  </oleObjects>
</worksheet>
</file>

<file path=xl/worksheets/sheet4.xml><?xml version="1.0" encoding="utf-8"?>
<worksheet xmlns="http://schemas.openxmlformats.org/spreadsheetml/2006/main" xmlns:r="http://schemas.openxmlformats.org/officeDocument/2006/relationships">
  <dimension ref="A1:A1"/>
  <sheetViews>
    <sheetView zoomScale="143" zoomScaleNormal="143"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479166666666667" right="2.5" top="0.9840277777777777" bottom="6" header="0.5118055555555555" footer="0.511805555555555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dimension ref="A1:A1"/>
  <sheetViews>
    <sheetView zoomScale="143" zoomScaleNormal="143"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479166666666667" right="2.5" top="0.9840277777777777" bottom="6" header="0.5118055555555555" footer="0.5118055555555555"/>
  <pageSetup horizontalDpi="300" verticalDpi="300" orientation="portrait"/>
  <drawing r:id="rId1"/>
</worksheet>
</file>

<file path=xl/worksheets/sheet6.xml><?xml version="1.0" encoding="utf-8"?>
<worksheet xmlns="http://schemas.openxmlformats.org/spreadsheetml/2006/main" xmlns:r="http://schemas.openxmlformats.org/officeDocument/2006/relationships">
  <dimension ref="A1:A1"/>
  <sheetViews>
    <sheetView zoomScale="136" zoomScaleNormal="136"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479166666666667" right="2.5" top="0.9840277777777777" bottom="6" header="0.5118055555555555" footer="0.5118055555555555"/>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dimension ref="A1:A1"/>
  <sheetViews>
    <sheetView zoomScale="136" zoomScaleNormal="136"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479166666666667" right="2.5" top="0.9840277777777777" bottom="6" header="0.5118055555555555" footer="0.5118055555555555"/>
  <pageSetup horizontalDpi="300" verticalDpi="300" orientation="portrait"/>
  <drawing r:id="rId1"/>
</worksheet>
</file>

<file path=xl/worksheets/sheet8.xml><?xml version="1.0" encoding="utf-8"?>
<worksheet xmlns="http://schemas.openxmlformats.org/spreadsheetml/2006/main" xmlns:r="http://schemas.openxmlformats.org/officeDocument/2006/relationships">
  <dimension ref="A1:A1"/>
  <sheetViews>
    <sheetView zoomScale="144" zoomScaleNormal="144" workbookViewId="0" topLeftCell="A40">
      <selection activeCell="A1" sqref="A1"/>
    </sheetView>
  </sheetViews>
  <sheetFormatPr defaultColWidth="12.57421875" defaultRowHeight="12.75"/>
  <cols>
    <col min="1" max="16384" width="11.57421875" style="0" customWidth="1"/>
  </cols>
  <sheetData/>
  <sheetProtection selectLockedCells="1" selectUnlockedCells="1"/>
  <printOptions/>
  <pageMargins left="0.7479166666666667" right="2.5" top="0.9840277777777777" bottom="6" header="0.5118055555555555" footer="0.5118055555555555"/>
  <pageSetup horizontalDpi="300" verticalDpi="300" orientation="portrait"/>
  <drawing r:id="rId1"/>
</worksheet>
</file>

<file path=xl/worksheets/sheet9.xml><?xml version="1.0" encoding="utf-8"?>
<worksheet xmlns="http://schemas.openxmlformats.org/spreadsheetml/2006/main" xmlns:r="http://schemas.openxmlformats.org/officeDocument/2006/relationships">
  <dimension ref="A1:A1"/>
  <sheetViews>
    <sheetView tabSelected="1" zoomScale="144" zoomScaleNormal="144" workbookViewId="0" topLeftCell="A1">
      <selection activeCell="G9" sqref="G9"/>
    </sheetView>
  </sheetViews>
  <sheetFormatPr defaultColWidth="12.57421875" defaultRowHeight="12.75"/>
  <cols>
    <col min="1" max="16384" width="11.57421875" style="0" customWidth="1"/>
  </cols>
  <sheetData/>
  <sheetProtection selectLockedCells="1" selectUnlockedCells="1"/>
  <printOptions/>
  <pageMargins left="0.7479166666666667" right="2.5" top="0.9840277777777777" bottom="6"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Coax.xls</dc:title>
  <dc:subject/>
  <dc:creator>Unknown Editor</dc:creator>
  <cp:keywords/>
  <dc:description/>
  <cp:lastModifiedBy>superkuh </cp:lastModifiedBy>
  <cp:lastPrinted>2006-09-16T02:57:20Z</cp:lastPrinted>
  <dcterms:created xsi:type="dcterms:W3CDTF">2006-04-18T18:34:04Z</dcterms:created>
  <dcterms:modified xsi:type="dcterms:W3CDTF">2013-02-19T09:13:31Z</dcterms:modified>
  <cp:category/>
  <cp:version/>
  <cp:contentType/>
  <cp:contentStatus/>
  <cp:revision>1</cp:revision>
</cp:coreProperties>
</file>